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24226"/>
  <mc:AlternateContent xmlns:mc="http://schemas.openxmlformats.org/markup-compatibility/2006">
    <mc:Choice Requires="x15">
      <x15ac:absPath xmlns:x15ac="http://schemas.microsoft.com/office/spreadsheetml/2010/11/ac" url="C:\Users\koichi\Desktop\"/>
    </mc:Choice>
  </mc:AlternateContent>
  <xr:revisionPtr revIDLastSave="0" documentId="8_{2A4C22DE-9898-4ABE-97C5-15B0447A6132}" xr6:coauthVersionLast="46" xr6:coauthVersionMax="46" xr10:uidLastSave="{00000000-0000-0000-0000-000000000000}"/>
  <bookViews>
    <workbookView xWindow="-108" yWindow="-108" windowWidth="23256" windowHeight="12576" xr2:uid="{00000000-000D-0000-FFFF-FFFF00000000}"/>
  </bookViews>
  <sheets>
    <sheet name="利用許可申請書" sheetId="9" r:id="rId1"/>
    <sheet name="2021登録チーム" sheetId="12" state="hidden" r:id="rId2"/>
    <sheet name="2021事業№" sheetId="13" state="hidden" r:id="rId3"/>
  </sheets>
  <externalReferences>
    <externalReference r:id="rId4"/>
    <externalReference r:id="rId5"/>
    <externalReference r:id="rId6"/>
  </externalReferences>
  <definedNames>
    <definedName name="_xlnm._FilterDatabase" localSheetId="2" hidden="1">'2021事業№'!$I$55:$I$366</definedName>
    <definedName name="_xlnm.Criteria" localSheetId="2">'2021事業№'!$AH$347:$AK$347</definedName>
    <definedName name="_xlnm.Print_Area" localSheetId="2">'2021事業№'!$A$1:$AL$354</definedName>
    <definedName name="_xlnm.Print_Area" localSheetId="0">利用許可申請書!$A$1:$Y$54</definedName>
    <definedName name="_xlnm.Print_Titles" localSheetId="2">'2021事業№'!$A:$AL,'2021事業№'!$1:$5</definedName>
    <definedName name="出欠欄" localSheetId="2">[1]役員１!#REF!</definedName>
    <definedName name="出欠欄">[1]役員１!#REF!</definedName>
    <definedName name="連盟委員会" localSheetId="2">[2]リスト!$D$1:$D$28</definedName>
    <definedName name="連盟委員会">[3]リスト!$D$1:$D$28</definedName>
  </definedNames>
  <calcPr calcId="191029"/>
</workbook>
</file>

<file path=xl/calcChain.xml><?xml version="1.0" encoding="utf-8"?>
<calcChain xmlns="http://schemas.openxmlformats.org/spreadsheetml/2006/main">
  <c r="O12" i="9" l="1"/>
  <c r="H10" i="9"/>
  <c r="H12" i="9"/>
  <c r="W350" i="13" l="1"/>
  <c r="AT348" i="13"/>
  <c r="AR348" i="13"/>
  <c r="AM348" i="13"/>
  <c r="AH348" i="13"/>
  <c r="U348" i="13"/>
  <c r="AT347" i="13"/>
  <c r="AR347" i="13"/>
  <c r="AM347" i="13"/>
  <c r="AM346" i="13"/>
  <c r="U346" i="13"/>
  <c r="T346" i="13"/>
  <c r="AM344" i="13"/>
  <c r="AK344" i="13"/>
  <c r="AI344" i="13"/>
  <c r="AH344" i="13"/>
  <c r="AG344" i="13"/>
  <c r="AF344" i="13"/>
  <c r="AE344" i="13"/>
  <c r="S344" i="13"/>
  <c r="AV343" i="13"/>
  <c r="AR343" i="13"/>
  <c r="AM343" i="13"/>
  <c r="AD343" i="13"/>
  <c r="AB343" i="13"/>
  <c r="AA343" i="13"/>
  <c r="Q343" i="13"/>
  <c r="AV342" i="13"/>
  <c r="AM342" i="13"/>
  <c r="AD342" i="13"/>
  <c r="AB342" i="13"/>
  <c r="AR342" i="13" s="1"/>
  <c r="Q342" i="13"/>
  <c r="AA342" i="13" s="1"/>
  <c r="M342" i="13"/>
  <c r="AV341" i="13"/>
  <c r="AM341" i="13"/>
  <c r="AD341" i="13"/>
  <c r="AB341" i="13"/>
  <c r="AR341" i="13" s="1"/>
  <c r="Q341" i="13"/>
  <c r="AA341" i="13" s="1"/>
  <c r="M341" i="13"/>
  <c r="AV340" i="13"/>
  <c r="AM340" i="13"/>
  <c r="AD340" i="13"/>
  <c r="AB340" i="13"/>
  <c r="AR340" i="13" s="1"/>
  <c r="Q340" i="13"/>
  <c r="AA340" i="13" s="1"/>
  <c r="M340" i="13"/>
  <c r="AV339" i="13"/>
  <c r="AM339" i="13"/>
  <c r="AD339" i="13"/>
  <c r="AB339" i="13"/>
  <c r="AR339" i="13" s="1"/>
  <c r="Q339" i="13"/>
  <c r="AA339" i="13" s="1"/>
  <c r="M339" i="13"/>
  <c r="AV338" i="13"/>
  <c r="AM338" i="13"/>
  <c r="AD338" i="13"/>
  <c r="AB338" i="13"/>
  <c r="AR338" i="13" s="1"/>
  <c r="R338" i="13"/>
  <c r="Q338" i="13" s="1"/>
  <c r="AA338" i="13" s="1"/>
  <c r="M338" i="13"/>
  <c r="AV337" i="13"/>
  <c r="AR337" i="13"/>
  <c r="AM337" i="13"/>
  <c r="AD337" i="13"/>
  <c r="AB337" i="13"/>
  <c r="Q337" i="13"/>
  <c r="AA337" i="13" s="1"/>
  <c r="AV336" i="13"/>
  <c r="AM336" i="13"/>
  <c r="AD336" i="13"/>
  <c r="AB336" i="13"/>
  <c r="AR336" i="13" s="1"/>
  <c r="Q336" i="13"/>
  <c r="AA336" i="13" s="1"/>
  <c r="M336" i="13"/>
  <c r="AV335" i="13"/>
  <c r="AM335" i="13"/>
  <c r="AD335" i="13"/>
  <c r="AB335" i="13"/>
  <c r="AR335" i="13" s="1"/>
  <c r="AA335" i="13"/>
  <c r="M335" i="13"/>
  <c r="AV334" i="13"/>
  <c r="AR334" i="13"/>
  <c r="AM334" i="13"/>
  <c r="AD334" i="13"/>
  <c r="AB334" i="13"/>
  <c r="Q334" i="13"/>
  <c r="AA334" i="13" s="1"/>
  <c r="M334" i="13"/>
  <c r="AV333" i="13"/>
  <c r="AM333" i="13"/>
  <c r="AD333" i="13"/>
  <c r="AB333" i="13"/>
  <c r="AR333" i="13" s="1"/>
  <c r="Q333" i="13"/>
  <c r="AA333" i="13" s="1"/>
  <c r="M333" i="13"/>
  <c r="AV332" i="13"/>
  <c r="AR332" i="13"/>
  <c r="AM332" i="13"/>
  <c r="AD332" i="13"/>
  <c r="AB332" i="13"/>
  <c r="AA332" i="13"/>
  <c r="Q332" i="13"/>
  <c r="M332" i="13"/>
  <c r="AV331" i="13"/>
  <c r="AR331" i="13"/>
  <c r="AM331" i="13"/>
  <c r="AD331" i="13"/>
  <c r="AB331" i="13"/>
  <c r="Q331" i="13"/>
  <c r="AA331" i="13" s="1"/>
  <c r="M331" i="13"/>
  <c r="AV330" i="13"/>
  <c r="AM330" i="13"/>
  <c r="AD330" i="13"/>
  <c r="AB330" i="13"/>
  <c r="AR330" i="13" s="1"/>
  <c r="Q330" i="13"/>
  <c r="AA330" i="13" s="1"/>
  <c r="M330" i="13"/>
  <c r="AV329" i="13"/>
  <c r="AR329" i="13"/>
  <c r="AM329" i="13"/>
  <c r="AD329" i="13"/>
  <c r="AB329" i="13"/>
  <c r="AA329" i="13"/>
  <c r="Q329" i="13"/>
  <c r="M329" i="13"/>
  <c r="AV328" i="13"/>
  <c r="AR328" i="13"/>
  <c r="AM328" i="13"/>
  <c r="AD328" i="13"/>
  <c r="AB328" i="13"/>
  <c r="Q328" i="13"/>
  <c r="AA328" i="13" s="1"/>
  <c r="M328" i="13"/>
  <c r="AV327" i="13"/>
  <c r="AM327" i="13"/>
  <c r="AD327" i="13"/>
  <c r="AB327" i="13"/>
  <c r="AR327" i="13" s="1"/>
  <c r="Q327" i="13"/>
  <c r="AA327" i="13" s="1"/>
  <c r="M327" i="13"/>
  <c r="AV326" i="13"/>
  <c r="AR326" i="13"/>
  <c r="AM326" i="13"/>
  <c r="AD326" i="13"/>
  <c r="AB326" i="13"/>
  <c r="Q326" i="13"/>
  <c r="AA326" i="13" s="1"/>
  <c r="M326" i="13"/>
  <c r="AV325" i="13"/>
  <c r="AV344" i="13" s="1"/>
  <c r="AR325" i="13"/>
  <c r="AM325" i="13"/>
  <c r="AJ325" i="13"/>
  <c r="AJ344" i="13" s="1"/>
  <c r="AB325" i="13"/>
  <c r="R325" i="13"/>
  <c r="R344" i="13" s="1"/>
  <c r="M325" i="13"/>
  <c r="AT324" i="13"/>
  <c r="AT344" i="13" s="1"/>
  <c r="AM324" i="13"/>
  <c r="AG324" i="13"/>
  <c r="AF324" i="13"/>
  <c r="AE324" i="13"/>
  <c r="S324" i="13"/>
  <c r="AV323" i="13"/>
  <c r="AR323" i="13"/>
  <c r="AN323" i="13"/>
  <c r="AM323" i="13"/>
  <c r="AD323" i="13"/>
  <c r="AB323" i="13"/>
  <c r="Q323" i="13"/>
  <c r="AA323" i="13" s="1"/>
  <c r="AV322" i="13"/>
  <c r="AR322" i="13"/>
  <c r="AM322" i="13"/>
  <c r="AD322" i="13"/>
  <c r="AB322" i="13"/>
  <c r="Q322" i="13"/>
  <c r="AA322" i="13" s="1"/>
  <c r="AV321" i="13"/>
  <c r="AR321" i="13"/>
  <c r="AN321" i="13"/>
  <c r="AM321" i="13"/>
  <c r="AD321" i="13"/>
  <c r="AB321" i="13"/>
  <c r="Q321" i="13"/>
  <c r="AV320" i="13"/>
  <c r="AR320" i="13"/>
  <c r="AN320" i="13"/>
  <c r="AM320" i="13"/>
  <c r="AD320" i="13"/>
  <c r="AB320" i="13"/>
  <c r="Q320" i="13"/>
  <c r="AV319" i="13"/>
  <c r="AR319" i="13"/>
  <c r="AN319" i="13"/>
  <c r="AM319" i="13"/>
  <c r="AJ319" i="13"/>
  <c r="AD319" i="13" s="1"/>
  <c r="AB319" i="13"/>
  <c r="AA319" i="13" s="1"/>
  <c r="R319" i="13"/>
  <c r="Q319" i="13"/>
  <c r="AV318" i="13"/>
  <c r="AR318" i="13"/>
  <c r="AN318" i="13"/>
  <c r="AM318" i="13"/>
  <c r="AJ318" i="13"/>
  <c r="AB318" i="13" s="1"/>
  <c r="AD318" i="13"/>
  <c r="R318" i="13"/>
  <c r="Q318" i="13"/>
  <c r="AA318" i="13" s="1"/>
  <c r="AV317" i="13"/>
  <c r="AN317" i="13"/>
  <c r="AM317" i="13"/>
  <c r="AD317" i="13"/>
  <c r="AB317" i="13"/>
  <c r="AR317" i="13" s="1"/>
  <c r="Q317" i="13"/>
  <c r="AA317" i="13" s="1"/>
  <c r="AV316" i="13"/>
  <c r="AN316" i="13"/>
  <c r="AM316" i="13"/>
  <c r="AD316" i="13"/>
  <c r="AB316" i="13"/>
  <c r="AV315" i="13"/>
  <c r="AN315" i="13"/>
  <c r="AM315" i="13"/>
  <c r="AD315" i="13"/>
  <c r="AB315" i="13"/>
  <c r="AR315" i="13" s="1"/>
  <c r="Q315" i="13"/>
  <c r="AA315" i="13" s="1"/>
  <c r="AV314" i="13"/>
  <c r="AR314" i="13"/>
  <c r="AN314" i="13"/>
  <c r="AM314" i="13"/>
  <c r="AD314" i="13"/>
  <c r="AB314" i="13"/>
  <c r="Q314" i="13" s="1"/>
  <c r="AA314" i="13" s="1"/>
  <c r="AV313" i="13"/>
  <c r="AR313" i="13"/>
  <c r="AN313" i="13"/>
  <c r="AM313" i="13"/>
  <c r="AD313" i="13"/>
  <c r="AB313" i="13"/>
  <c r="Q313" i="13" s="1"/>
  <c r="AA313" i="13" s="1"/>
  <c r="AD312" i="13"/>
  <c r="AB312" i="13"/>
  <c r="AV311" i="13"/>
  <c r="AN311" i="13"/>
  <c r="AM311" i="13"/>
  <c r="AD311" i="13"/>
  <c r="AB311" i="13"/>
  <c r="AR311" i="13" s="1"/>
  <c r="Q311" i="13"/>
  <c r="AV310" i="13"/>
  <c r="AN310" i="13"/>
  <c r="AM310" i="13"/>
  <c r="AD310" i="13"/>
  <c r="AB310" i="13"/>
  <c r="AR310" i="13" s="1"/>
  <c r="Q310" i="13"/>
  <c r="AV309" i="13"/>
  <c r="AN309" i="13"/>
  <c r="AM309" i="13"/>
  <c r="AD309" i="13"/>
  <c r="AB309" i="13"/>
  <c r="AR309" i="13" s="1"/>
  <c r="Q309" i="13"/>
  <c r="AV308" i="13"/>
  <c r="AN308" i="13"/>
  <c r="AM308" i="13"/>
  <c r="AJ308" i="13"/>
  <c r="AV307" i="13"/>
  <c r="AR307" i="13"/>
  <c r="AN307" i="13"/>
  <c r="AM307" i="13"/>
  <c r="AD307" i="13"/>
  <c r="AB307" i="13"/>
  <c r="Q307" i="13"/>
  <c r="AA307" i="13" s="1"/>
  <c r="AV306" i="13"/>
  <c r="AR306" i="13"/>
  <c r="AN306" i="13"/>
  <c r="AM306" i="13"/>
  <c r="AD306" i="13"/>
  <c r="AB306" i="13"/>
  <c r="Q306" i="13"/>
  <c r="AA306" i="13" s="1"/>
  <c r="AV305" i="13"/>
  <c r="AN305" i="13"/>
  <c r="AM305" i="13"/>
  <c r="AD305" i="13"/>
  <c r="AB305" i="13"/>
  <c r="AR305" i="13" s="1"/>
  <c r="Q305" i="13"/>
  <c r="AA305" i="13" s="1"/>
  <c r="AV304" i="13"/>
  <c r="AM304" i="13"/>
  <c r="AD304" i="13"/>
  <c r="AB304" i="13"/>
  <c r="AV303" i="13"/>
  <c r="AR303" i="13"/>
  <c r="AN303" i="13"/>
  <c r="AM303" i="13"/>
  <c r="AJ303" i="13"/>
  <c r="AD303" i="13" s="1"/>
  <c r="AI303" i="13"/>
  <c r="AB303" i="13"/>
  <c r="Q303" i="13"/>
  <c r="AV302" i="13"/>
  <c r="AR302" i="13"/>
  <c r="AN302" i="13"/>
  <c r="AM302" i="13"/>
  <c r="AI302" i="13"/>
  <c r="AD302" i="13" s="1"/>
  <c r="AB302" i="13"/>
  <c r="Q302" i="13"/>
  <c r="AA302" i="13" s="1"/>
  <c r="AV301" i="13"/>
  <c r="AR301" i="13"/>
  <c r="AN301" i="13"/>
  <c r="AM301" i="13"/>
  <c r="AJ301" i="13"/>
  <c r="AB301" i="13" s="1"/>
  <c r="Q301" i="13" s="1"/>
  <c r="AD301" i="13"/>
  <c r="AA301" i="13"/>
  <c r="AV300" i="13"/>
  <c r="AN300" i="13"/>
  <c r="AM300" i="13"/>
  <c r="AD300" i="13"/>
  <c r="AB300" i="13"/>
  <c r="Q300" i="13" s="1"/>
  <c r="AA300" i="13" s="1"/>
  <c r="AV299" i="13"/>
  <c r="AN299" i="13"/>
  <c r="AM299" i="13"/>
  <c r="AI299" i="13"/>
  <c r="AD299" i="13" s="1"/>
  <c r="AB299" i="13"/>
  <c r="AV298" i="13"/>
  <c r="AN298" i="13"/>
  <c r="AM298" i="13"/>
  <c r="AJ298" i="13"/>
  <c r="AB298" i="13" s="1"/>
  <c r="AR298" i="13" s="1"/>
  <c r="R298" i="13"/>
  <c r="AV297" i="13"/>
  <c r="AN297" i="13"/>
  <c r="AM297" i="13"/>
  <c r="AJ297" i="13"/>
  <c r="R297" i="13"/>
  <c r="AI297" i="13" s="1"/>
  <c r="AV296" i="13"/>
  <c r="AR296" i="13"/>
  <c r="AN296" i="13"/>
  <c r="AM296" i="13"/>
  <c r="AK296" i="13"/>
  <c r="AK324" i="13" s="1"/>
  <c r="AD296" i="13"/>
  <c r="AB296" i="13"/>
  <c r="AA296" i="13"/>
  <c r="Q296" i="13"/>
  <c r="AV295" i="13"/>
  <c r="AN295" i="13"/>
  <c r="AM295" i="13"/>
  <c r="AD295" i="13"/>
  <c r="AB295" i="13"/>
  <c r="AR295" i="13" s="1"/>
  <c r="Q295" i="13"/>
  <c r="AV294" i="13"/>
  <c r="AN294" i="13"/>
  <c r="AM294" i="13"/>
  <c r="AD294" i="13"/>
  <c r="AB294" i="13"/>
  <c r="Q294" i="13" s="1"/>
  <c r="AA294" i="13"/>
  <c r="AV293" i="13"/>
  <c r="AR293" i="13"/>
  <c r="AN293" i="13"/>
  <c r="AM293" i="13"/>
  <c r="AJ293" i="13"/>
  <c r="AH293" i="13"/>
  <c r="AH324" i="13" s="1"/>
  <c r="AV292" i="13"/>
  <c r="AN292" i="13"/>
  <c r="AM292" i="13"/>
  <c r="AD292" i="13"/>
  <c r="AB292" i="13"/>
  <c r="AR292" i="13" s="1"/>
  <c r="Q292" i="13"/>
  <c r="AV291" i="13"/>
  <c r="AR291" i="13"/>
  <c r="AN291" i="13"/>
  <c r="AM291" i="13"/>
  <c r="AJ291" i="13"/>
  <c r="AD291" i="13" s="1"/>
  <c r="Q291" i="13"/>
  <c r="AV290" i="13"/>
  <c r="AR290" i="13"/>
  <c r="AN290" i="13"/>
  <c r="AM290" i="13"/>
  <c r="AD290" i="13"/>
  <c r="AB290" i="13"/>
  <c r="Q290" i="13"/>
  <c r="AA290" i="13" s="1"/>
  <c r="AV289" i="13"/>
  <c r="AN289" i="13"/>
  <c r="AM289" i="13"/>
  <c r="AD289" i="13"/>
  <c r="AB289" i="13"/>
  <c r="AR289" i="13" s="1"/>
  <c r="Q289" i="13"/>
  <c r="AA289" i="13" s="1"/>
  <c r="AV288" i="13"/>
  <c r="AR288" i="13"/>
  <c r="AN288" i="13"/>
  <c r="AM288" i="13"/>
  <c r="AD288" i="13"/>
  <c r="AB288" i="13"/>
  <c r="AA288" i="13"/>
  <c r="Q288" i="13" s="1"/>
  <c r="AV287" i="13"/>
  <c r="AN287" i="13"/>
  <c r="AM287" i="13"/>
  <c r="AD287" i="13"/>
  <c r="AB287" i="13"/>
  <c r="AR287" i="13" s="1"/>
  <c r="Q287" i="13"/>
  <c r="AV286" i="13"/>
  <c r="AN286" i="13"/>
  <c r="AM286" i="13"/>
  <c r="AJ286" i="13"/>
  <c r="Q286" i="13"/>
  <c r="AA286" i="13" s="1"/>
  <c r="AU285" i="13"/>
  <c r="AR285" i="13"/>
  <c r="AN285" i="13"/>
  <c r="AM285" i="13"/>
  <c r="AD285" i="13"/>
  <c r="AB285" i="13"/>
  <c r="Q285" i="13"/>
  <c r="AA285" i="13" s="1"/>
  <c r="AV284" i="13"/>
  <c r="AR284" i="13"/>
  <c r="AN284" i="13"/>
  <c r="AM284" i="13"/>
  <c r="AD284" i="13"/>
  <c r="AB284" i="13"/>
  <c r="AA284" i="13" s="1"/>
  <c r="Q284" i="13"/>
  <c r="AV283" i="13"/>
  <c r="AN283" i="13"/>
  <c r="AM283" i="13"/>
  <c r="AJ283" i="13"/>
  <c r="Q283" i="13"/>
  <c r="AA283" i="13" s="1"/>
  <c r="AV282" i="13"/>
  <c r="AR282" i="13"/>
  <c r="AN282" i="13"/>
  <c r="AM282" i="13"/>
  <c r="AJ282" i="13"/>
  <c r="AB282" i="13" s="1"/>
  <c r="AD282" i="13"/>
  <c r="Q282" i="13"/>
  <c r="AV281" i="13"/>
  <c r="AR281" i="13"/>
  <c r="AN281" i="13"/>
  <c r="AM281" i="13"/>
  <c r="AJ281" i="13"/>
  <c r="AD281" i="13" s="1"/>
  <c r="Q281" i="13"/>
  <c r="AV280" i="13"/>
  <c r="AN280" i="13"/>
  <c r="AM280" i="13"/>
  <c r="AD280" i="13"/>
  <c r="AB280" i="13"/>
  <c r="AR280" i="13" s="1"/>
  <c r="Q280" i="13"/>
  <c r="AV279" i="13"/>
  <c r="AN279" i="13"/>
  <c r="AM279" i="13"/>
  <c r="AD279" i="13"/>
  <c r="AB279" i="13"/>
  <c r="AR279" i="13" s="1"/>
  <c r="Q279" i="13"/>
  <c r="AV278" i="13"/>
  <c r="AN278" i="13"/>
  <c r="AM278" i="13"/>
  <c r="AD278" i="13"/>
  <c r="AB278" i="13"/>
  <c r="AR278" i="13" s="1"/>
  <c r="Q278" i="13"/>
  <c r="AA278" i="13" s="1"/>
  <c r="AV277" i="13"/>
  <c r="AN277" i="13"/>
  <c r="AM277" i="13"/>
  <c r="AD277" i="13"/>
  <c r="AB277" i="13"/>
  <c r="AR277" i="13" s="1"/>
  <c r="Q277" i="13"/>
  <c r="AV276" i="13"/>
  <c r="AR276" i="13"/>
  <c r="AN276" i="13"/>
  <c r="AM276" i="13"/>
  <c r="AD276" i="13"/>
  <c r="AB276" i="13"/>
  <c r="Q276" i="13"/>
  <c r="AA276" i="13" s="1"/>
  <c r="AV275" i="13"/>
  <c r="AR275" i="13"/>
  <c r="AN275" i="13"/>
  <c r="AM275" i="13"/>
  <c r="AD275" i="13"/>
  <c r="AB275" i="13"/>
  <c r="Q275" i="13"/>
  <c r="AA275" i="13" s="1"/>
  <c r="AV274" i="13"/>
  <c r="AR274" i="13"/>
  <c r="AN274" i="13"/>
  <c r="AM274" i="13"/>
  <c r="AD274" i="13"/>
  <c r="AB274" i="13"/>
  <c r="Q274" i="13"/>
  <c r="AA274" i="13" s="1"/>
  <c r="AV273" i="13"/>
  <c r="AR273" i="13"/>
  <c r="AN273" i="13"/>
  <c r="AM273" i="13"/>
  <c r="AJ273" i="13"/>
  <c r="AD273" i="13" s="1"/>
  <c r="Q273" i="13"/>
  <c r="AV272" i="13"/>
  <c r="AR272" i="13"/>
  <c r="AN272" i="13"/>
  <c r="AM272" i="13"/>
  <c r="AJ272" i="13"/>
  <c r="AD272" i="13" s="1"/>
  <c r="AB272" i="13"/>
  <c r="Q272" i="13"/>
  <c r="AV271" i="13"/>
  <c r="AR271" i="13"/>
  <c r="AN271" i="13"/>
  <c r="AM271" i="13"/>
  <c r="AJ271" i="13"/>
  <c r="AV270" i="13"/>
  <c r="AN270" i="13"/>
  <c r="AM270" i="13"/>
  <c r="AJ270" i="13"/>
  <c r="AB270" i="13" s="1"/>
  <c r="Q270" i="13"/>
  <c r="AV269" i="13"/>
  <c r="AR269" i="13"/>
  <c r="AN269" i="13"/>
  <c r="AM269" i="13"/>
  <c r="AD269" i="13"/>
  <c r="AB269" i="13"/>
  <c r="AA269" i="13"/>
  <c r="Q269" i="13"/>
  <c r="AV268" i="13"/>
  <c r="AR268" i="13"/>
  <c r="AN268" i="13"/>
  <c r="AM268" i="13"/>
  <c r="AJ268" i="13"/>
  <c r="R268" i="13"/>
  <c r="AV267" i="13"/>
  <c r="AR267" i="13"/>
  <c r="AN267" i="13"/>
  <c r="AM267" i="13"/>
  <c r="AD267" i="13"/>
  <c r="AB267" i="13"/>
  <c r="Q267" i="13"/>
  <c r="AA267" i="13" s="1"/>
  <c r="AV266" i="13"/>
  <c r="AR266" i="13"/>
  <c r="AN266" i="13"/>
  <c r="AM266" i="13"/>
  <c r="AJ266" i="13"/>
  <c r="AB266" i="13"/>
  <c r="Q266" i="13"/>
  <c r="AA266" i="13" s="1"/>
  <c r="AV265" i="13"/>
  <c r="AN265" i="13"/>
  <c r="AM265" i="13"/>
  <c r="AD265" i="13"/>
  <c r="AB265" i="13"/>
  <c r="AV264" i="13"/>
  <c r="AN264" i="13"/>
  <c r="AM264" i="13"/>
  <c r="AD264" i="13"/>
  <c r="AB264" i="13"/>
  <c r="AV263" i="13"/>
  <c r="AN263" i="13"/>
  <c r="AM263" i="13"/>
  <c r="AD263" i="13"/>
  <c r="AB263" i="13"/>
  <c r="AV262" i="13"/>
  <c r="AN262" i="13"/>
  <c r="AM262" i="13"/>
  <c r="AD262" i="13"/>
  <c r="AB262" i="13"/>
  <c r="AR262" i="13" s="1"/>
  <c r="Q262" i="13"/>
  <c r="AV261" i="13"/>
  <c r="AV324" i="13" s="1"/>
  <c r="AR261" i="13"/>
  <c r="AN261" i="13"/>
  <c r="AM261" i="13"/>
  <c r="AD261" i="13"/>
  <c r="AB261" i="13"/>
  <c r="Q261" i="13"/>
  <c r="W260" i="13"/>
  <c r="V260" i="13"/>
  <c r="AN258" i="13"/>
  <c r="AM258" i="13"/>
  <c r="AK258" i="13"/>
  <c r="AI258" i="13"/>
  <c r="AH258" i="13"/>
  <c r="AG258" i="13"/>
  <c r="AF258" i="13"/>
  <c r="AE258" i="13"/>
  <c r="S258" i="13"/>
  <c r="R258" i="13"/>
  <c r="P258" i="13"/>
  <c r="AV257" i="13"/>
  <c r="AN257" i="13"/>
  <c r="AM257" i="13"/>
  <c r="AJ257" i="13"/>
  <c r="AD257" i="13" s="1"/>
  <c r="AB257" i="13"/>
  <c r="Q257" i="13"/>
  <c r="AV256" i="13"/>
  <c r="AN256" i="13"/>
  <c r="AM256" i="13"/>
  <c r="AJ256" i="13"/>
  <c r="Q256" i="13"/>
  <c r="AV255" i="13"/>
  <c r="AN255" i="13"/>
  <c r="AM255" i="13"/>
  <c r="AJ255" i="13"/>
  <c r="AD255" i="13" s="1"/>
  <c r="Q255" i="13"/>
  <c r="AV254" i="13"/>
  <c r="AN254" i="13"/>
  <c r="AM254" i="13"/>
  <c r="AJ254" i="13"/>
  <c r="Q254" i="13"/>
  <c r="AV253" i="13"/>
  <c r="AN253" i="13"/>
  <c r="AM253" i="13"/>
  <c r="AJ253" i="13"/>
  <c r="Q253" i="13"/>
  <c r="AV252" i="13"/>
  <c r="AN252" i="13"/>
  <c r="AM252" i="13"/>
  <c r="AJ252" i="13"/>
  <c r="Q252" i="13"/>
  <c r="AV251" i="13"/>
  <c r="AN251" i="13"/>
  <c r="AM251" i="13"/>
  <c r="AJ251" i="13"/>
  <c r="Q251" i="13"/>
  <c r="AV250" i="13"/>
  <c r="AT250" i="13"/>
  <c r="AN250" i="13"/>
  <c r="AM250" i="13"/>
  <c r="AJ250" i="13"/>
  <c r="Q250" i="13"/>
  <c r="AV249" i="13"/>
  <c r="AR249" i="13"/>
  <c r="AN249" i="13"/>
  <c r="AM249" i="13"/>
  <c r="AJ249" i="13"/>
  <c r="AD249" i="13"/>
  <c r="AB249" i="13"/>
  <c r="Q249" i="13"/>
  <c r="AA249" i="13" s="1"/>
  <c r="AV248" i="13"/>
  <c r="AT248" i="13"/>
  <c r="AN248" i="13"/>
  <c r="AM248" i="13"/>
  <c r="AJ248" i="13"/>
  <c r="AB248" i="13" s="1"/>
  <c r="AR248" i="13" s="1"/>
  <c r="Q248" i="13"/>
  <c r="AV247" i="13"/>
  <c r="AT247" i="13"/>
  <c r="AN247" i="13"/>
  <c r="AM247" i="13"/>
  <c r="AJ247" i="13"/>
  <c r="AD247" i="13" s="1"/>
  <c r="Q247" i="13"/>
  <c r="AV246" i="13"/>
  <c r="AN246" i="13"/>
  <c r="AM246" i="13"/>
  <c r="AJ246" i="13"/>
  <c r="Q246" i="13"/>
  <c r="AV245" i="13"/>
  <c r="AN245" i="13"/>
  <c r="AM245" i="13"/>
  <c r="AJ245" i="13"/>
  <c r="Q245" i="13"/>
  <c r="AV244" i="13"/>
  <c r="AN244" i="13"/>
  <c r="AM244" i="13"/>
  <c r="AJ244" i="13"/>
  <c r="AD244" i="13" s="1"/>
  <c r="AB244" i="13"/>
  <c r="Q244" i="13"/>
  <c r="AV243" i="13"/>
  <c r="AR243" i="13"/>
  <c r="AN243" i="13"/>
  <c r="AM243" i="13"/>
  <c r="AJ243" i="13"/>
  <c r="AD243" i="13"/>
  <c r="AB243" i="13"/>
  <c r="Q243" i="13"/>
  <c r="AA243" i="13" s="1"/>
  <c r="AV242" i="13"/>
  <c r="AN242" i="13"/>
  <c r="AM242" i="13"/>
  <c r="AJ242" i="13"/>
  <c r="AD242" i="13" s="1"/>
  <c r="AB242" i="13"/>
  <c r="Q242" i="13"/>
  <c r="AV241" i="13"/>
  <c r="AN241" i="13"/>
  <c r="AM241" i="13"/>
  <c r="AJ241" i="13"/>
  <c r="AD241" i="13"/>
  <c r="AB241" i="13"/>
  <c r="Q241" i="13"/>
  <c r="AV240" i="13"/>
  <c r="AN240" i="13"/>
  <c r="AM240" i="13"/>
  <c r="AJ240" i="13"/>
  <c r="AB240" i="13" s="1"/>
  <c r="AD240" i="13"/>
  <c r="Q240" i="13"/>
  <c r="AV239" i="13"/>
  <c r="AN239" i="13"/>
  <c r="AM239" i="13"/>
  <c r="AJ239" i="13"/>
  <c r="Q239" i="13"/>
  <c r="AV238" i="13"/>
  <c r="AN238" i="13"/>
  <c r="AM238" i="13"/>
  <c r="AJ238" i="13"/>
  <c r="AD238" i="13"/>
  <c r="AB238" i="13"/>
  <c r="Q238" i="13"/>
  <c r="AA238" i="13" s="1"/>
  <c r="AV237" i="13"/>
  <c r="AN237" i="13"/>
  <c r="AM237" i="13"/>
  <c r="AJ237" i="13"/>
  <c r="AD237" i="13" s="1"/>
  <c r="Q237" i="13"/>
  <c r="AV236" i="13"/>
  <c r="AN236" i="13"/>
  <c r="AM236" i="13"/>
  <c r="AJ236" i="13"/>
  <c r="AD236" i="13"/>
  <c r="AB236" i="13"/>
  <c r="Q236" i="13"/>
  <c r="AA236" i="13" s="1"/>
  <c r="AV235" i="13"/>
  <c r="AN235" i="13"/>
  <c r="AM235" i="13"/>
  <c r="AJ235" i="13"/>
  <c r="AD235" i="13" s="1"/>
  <c r="Q235" i="13"/>
  <c r="AV234" i="13"/>
  <c r="AN234" i="13"/>
  <c r="AM234" i="13"/>
  <c r="AJ234" i="13"/>
  <c r="AD234" i="13" s="1"/>
  <c r="Q234" i="13"/>
  <c r="AV233" i="13"/>
  <c r="AN233" i="13"/>
  <c r="AM233" i="13"/>
  <c r="AJ233" i="13"/>
  <c r="AD233" i="13" s="1"/>
  <c r="Q233" i="13"/>
  <c r="AV232" i="13"/>
  <c r="AV258" i="13" s="1"/>
  <c r="AN232" i="13"/>
  <c r="AM232" i="13"/>
  <c r="AJ232" i="13"/>
  <c r="AB232" i="13" s="1"/>
  <c r="AD232" i="13"/>
  <c r="Q232" i="13"/>
  <c r="AT231" i="13"/>
  <c r="AN231" i="13"/>
  <c r="AM231" i="13"/>
  <c r="AK231" i="13"/>
  <c r="AI231" i="13"/>
  <c r="AH231" i="13"/>
  <c r="AG231" i="13"/>
  <c r="AF231" i="13"/>
  <c r="AE231" i="13"/>
  <c r="S231" i="13"/>
  <c r="R231" i="13"/>
  <c r="P231" i="13"/>
  <c r="AV230" i="13"/>
  <c r="AN230" i="13"/>
  <c r="AM230" i="13"/>
  <c r="AD230" i="13"/>
  <c r="AB230" i="13"/>
  <c r="Q230" i="13"/>
  <c r="AV229" i="13"/>
  <c r="AN229" i="13"/>
  <c r="AM229" i="13"/>
  <c r="AD229" i="13"/>
  <c r="Q229" i="13"/>
  <c r="AA229" i="13" s="1"/>
  <c r="AV228" i="13"/>
  <c r="AN228" i="13"/>
  <c r="AM228" i="13"/>
  <c r="AJ228" i="13"/>
  <c r="Q228" i="13"/>
  <c r="AV227" i="13"/>
  <c r="AN227" i="13"/>
  <c r="AM227" i="13"/>
  <c r="AJ227" i="13"/>
  <c r="AB227" i="13" s="1"/>
  <c r="Q227" i="13"/>
  <c r="AV226" i="13"/>
  <c r="AN226" i="13"/>
  <c r="AM226" i="13"/>
  <c r="AJ226" i="13"/>
  <c r="AD226" i="13" s="1"/>
  <c r="AB226" i="13"/>
  <c r="Q226" i="13"/>
  <c r="AV225" i="13"/>
  <c r="AN225" i="13"/>
  <c r="AM225" i="13"/>
  <c r="AJ225" i="13"/>
  <c r="AD225" i="13" s="1"/>
  <c r="AB225" i="13"/>
  <c r="AR225" i="13" s="1"/>
  <c r="Q225" i="13"/>
  <c r="AA225" i="13" s="1"/>
  <c r="AV224" i="13"/>
  <c r="AV231" i="13" s="1"/>
  <c r="AN224" i="13"/>
  <c r="AM224" i="13"/>
  <c r="AJ224" i="13"/>
  <c r="AB224" i="13"/>
  <c r="Q224" i="13"/>
  <c r="AT223" i="13"/>
  <c r="AN223" i="13"/>
  <c r="AM223" i="13"/>
  <c r="AK223" i="13"/>
  <c r="AI223" i="13"/>
  <c r="AH223" i="13"/>
  <c r="AG223" i="13"/>
  <c r="AF223" i="13"/>
  <c r="AE223" i="13"/>
  <c r="S223" i="13"/>
  <c r="R223" i="13"/>
  <c r="P223" i="13"/>
  <c r="AV222" i="13"/>
  <c r="AN222" i="13"/>
  <c r="AM222" i="13"/>
  <c r="AD222" i="13"/>
  <c r="AB222" i="13"/>
  <c r="AR222" i="13" s="1"/>
  <c r="Q222" i="13"/>
  <c r="AA222" i="13" s="1"/>
  <c r="AV221" i="13"/>
  <c r="AN221" i="13"/>
  <c r="AM221" i="13"/>
  <c r="AD221" i="13"/>
  <c r="Q221" i="13"/>
  <c r="AA221" i="13" s="1"/>
  <c r="AV220" i="13"/>
  <c r="AN220" i="13"/>
  <c r="AM220" i="13"/>
  <c r="AD220" i="13"/>
  <c r="Q220" i="13"/>
  <c r="AA220" i="13" s="1"/>
  <c r="AV219" i="13"/>
  <c r="AN219" i="13"/>
  <c r="AM219" i="13"/>
  <c r="AD219" i="13"/>
  <c r="AB219" i="13"/>
  <c r="Q219" i="13"/>
  <c r="AA219" i="13" s="1"/>
  <c r="AN218" i="13"/>
  <c r="AM218" i="13"/>
  <c r="AD218" i="13"/>
  <c r="AB218" i="13"/>
  <c r="Q218" i="13"/>
  <c r="AA218" i="13" s="1"/>
  <c r="AV217" i="13"/>
  <c r="AN217" i="13"/>
  <c r="AM217" i="13"/>
  <c r="AD217" i="13"/>
  <c r="AB217" i="13"/>
  <c r="Q217" i="13"/>
  <c r="AA217" i="13" s="1"/>
  <c r="AV216" i="13"/>
  <c r="AN216" i="13"/>
  <c r="AM216" i="13"/>
  <c r="AD216" i="13"/>
  <c r="AB216" i="13"/>
  <c r="Q216" i="13"/>
  <c r="AA216" i="13" s="1"/>
  <c r="AV215" i="13"/>
  <c r="AN215" i="13"/>
  <c r="AM215" i="13"/>
  <c r="AD215" i="13"/>
  <c r="AB215" i="13"/>
  <c r="Q215" i="13"/>
  <c r="AA215" i="13" s="1"/>
  <c r="AV214" i="13"/>
  <c r="AN214" i="13"/>
  <c r="AM214" i="13"/>
  <c r="AJ214" i="13"/>
  <c r="AD214" i="13"/>
  <c r="AB214" i="13"/>
  <c r="Q214" i="13"/>
  <c r="AV213" i="13"/>
  <c r="AN213" i="13"/>
  <c r="AM213" i="13"/>
  <c r="AJ213" i="13"/>
  <c r="AD213" i="13"/>
  <c r="AB213" i="13"/>
  <c r="Q213" i="13"/>
  <c r="AV212" i="13"/>
  <c r="AN212" i="13"/>
  <c r="AM212" i="13"/>
  <c r="AD212" i="13"/>
  <c r="AB212" i="13"/>
  <c r="AR212" i="13" s="1"/>
  <c r="X212" i="13"/>
  <c r="Q212" i="13"/>
  <c r="AA212" i="13" s="1"/>
  <c r="AV211" i="13"/>
  <c r="AN211" i="13"/>
  <c r="AM211" i="13"/>
  <c r="AJ211" i="13"/>
  <c r="AB211" i="13" s="1"/>
  <c r="AR211" i="13" s="1"/>
  <c r="X211" i="13"/>
  <c r="Q211" i="13"/>
  <c r="AV210" i="13"/>
  <c r="AR210" i="13"/>
  <c r="AN210" i="13"/>
  <c r="AM210" i="13"/>
  <c r="AJ210" i="13"/>
  <c r="AD210" i="13"/>
  <c r="AB210" i="13"/>
  <c r="Q210" i="13"/>
  <c r="AA210" i="13" s="1"/>
  <c r="AV209" i="13"/>
  <c r="AN209" i="13"/>
  <c r="AM209" i="13"/>
  <c r="AJ209" i="13"/>
  <c r="AD209" i="13" s="1"/>
  <c r="AB209" i="13"/>
  <c r="Q209" i="13"/>
  <c r="AV208" i="13"/>
  <c r="AN208" i="13"/>
  <c r="AM208" i="13"/>
  <c r="AJ208" i="13"/>
  <c r="AD208" i="13"/>
  <c r="AB208" i="13"/>
  <c r="AR208" i="13" s="1"/>
  <c r="Q208" i="13"/>
  <c r="AV207" i="13"/>
  <c r="AN207" i="13"/>
  <c r="AM207" i="13"/>
  <c r="AJ207" i="13"/>
  <c r="AD207" i="13" s="1"/>
  <c r="Q207" i="13"/>
  <c r="AV206" i="13"/>
  <c r="AN206" i="13"/>
  <c r="AM206" i="13"/>
  <c r="AJ206" i="13"/>
  <c r="AD206" i="13" s="1"/>
  <c r="Q206" i="13"/>
  <c r="AV205" i="13"/>
  <c r="AN205" i="13"/>
  <c r="AM205" i="13"/>
  <c r="AJ205" i="13"/>
  <c r="Q205" i="13"/>
  <c r="AV204" i="13"/>
  <c r="AR204" i="13"/>
  <c r="AN204" i="13"/>
  <c r="AM204" i="13"/>
  <c r="AJ204" i="13"/>
  <c r="AD204" i="13" s="1"/>
  <c r="AB204" i="13"/>
  <c r="AA204" i="13"/>
  <c r="Q204" i="13"/>
  <c r="AV203" i="13"/>
  <c r="AV223" i="13" s="1"/>
  <c r="AN203" i="13"/>
  <c r="AM203" i="13"/>
  <c r="AJ203" i="13"/>
  <c r="Q203" i="13"/>
  <c r="AV202" i="13"/>
  <c r="AN202" i="13"/>
  <c r="AM202" i="13"/>
  <c r="AH202" i="13"/>
  <c r="AE202" i="13"/>
  <c r="AV201" i="13"/>
  <c r="AN201" i="13"/>
  <c r="AM201" i="13"/>
  <c r="AD201" i="13"/>
  <c r="AB201" i="13"/>
  <c r="AA201" i="13" s="1"/>
  <c r="Q201" i="13"/>
  <c r="AV200" i="13"/>
  <c r="AN200" i="13"/>
  <c r="AM200" i="13"/>
  <c r="AD200" i="13"/>
  <c r="Q200" i="13"/>
  <c r="AA200" i="13" s="1"/>
  <c r="AN199" i="13"/>
  <c r="AM199" i="13"/>
  <c r="AK199" i="13"/>
  <c r="AK202" i="13" s="1"/>
  <c r="AI199" i="13"/>
  <c r="AI202" i="13" s="1"/>
  <c r="AH199" i="13"/>
  <c r="AG199" i="13"/>
  <c r="AG202" i="13" s="1"/>
  <c r="AF199" i="13"/>
  <c r="AE199" i="13"/>
  <c r="S199" i="13"/>
  <c r="S202" i="13" s="1"/>
  <c r="R199" i="13"/>
  <c r="R202" i="13" s="1"/>
  <c r="P199" i="13"/>
  <c r="AV198" i="13"/>
  <c r="AR198" i="13"/>
  <c r="AN198" i="13"/>
  <c r="AM198" i="13"/>
  <c r="AJ198" i="13"/>
  <c r="AB198" i="13"/>
  <c r="Q198" i="13"/>
  <c r="AV197" i="13"/>
  <c r="AN197" i="13"/>
  <c r="AM197" i="13"/>
  <c r="AJ197" i="13"/>
  <c r="AD197" i="13" s="1"/>
  <c r="Q197" i="13"/>
  <c r="AA197" i="13" s="1"/>
  <c r="AV196" i="13"/>
  <c r="AN196" i="13"/>
  <c r="AM196" i="13"/>
  <c r="AJ196" i="13"/>
  <c r="Q196" i="13"/>
  <c r="AV195" i="13"/>
  <c r="AN195" i="13"/>
  <c r="AM195" i="13"/>
  <c r="AD195" i="13"/>
  <c r="AA195" i="13"/>
  <c r="Q195" i="13"/>
  <c r="AV194" i="13"/>
  <c r="AN194" i="13"/>
  <c r="AM194" i="13"/>
  <c r="AJ194" i="13"/>
  <c r="AD194" i="13" s="1"/>
  <c r="Q194" i="13"/>
  <c r="AN193" i="13"/>
  <c r="AM193" i="13"/>
  <c r="AK193" i="13"/>
  <c r="AI193" i="13"/>
  <c r="AH193" i="13"/>
  <c r="AG193" i="13"/>
  <c r="AF193" i="13"/>
  <c r="AE193" i="13"/>
  <c r="S193" i="13"/>
  <c r="R193" i="13"/>
  <c r="P193" i="13"/>
  <c r="AV192" i="13"/>
  <c r="AR192" i="13"/>
  <c r="AN192" i="13"/>
  <c r="AM192" i="13"/>
  <c r="AJ192" i="13"/>
  <c r="AD192" i="13"/>
  <c r="AB192" i="13"/>
  <c r="Q192" i="13"/>
  <c r="AV191" i="13"/>
  <c r="AN191" i="13"/>
  <c r="AM191" i="13"/>
  <c r="AJ191" i="13"/>
  <c r="AD191" i="13" s="1"/>
  <c r="Q191" i="13"/>
  <c r="AA191" i="13" s="1"/>
  <c r="AV190" i="13"/>
  <c r="AN190" i="13"/>
  <c r="AM190" i="13"/>
  <c r="AJ190" i="13"/>
  <c r="AD190" i="13" s="1"/>
  <c r="Q190" i="13"/>
  <c r="AV189" i="13"/>
  <c r="AR189" i="13"/>
  <c r="AN189" i="13"/>
  <c r="AM189" i="13"/>
  <c r="AJ189" i="13"/>
  <c r="AD189" i="13" s="1"/>
  <c r="Q189" i="13"/>
  <c r="AV188" i="13"/>
  <c r="AN188" i="13"/>
  <c r="AM188" i="13"/>
  <c r="AJ188" i="13"/>
  <c r="AD188" i="13" s="1"/>
  <c r="AB188" i="13"/>
  <c r="AA188" i="13"/>
  <c r="Q188" i="13"/>
  <c r="AV187" i="13"/>
  <c r="AR187" i="13"/>
  <c r="AN187" i="13"/>
  <c r="AM187" i="13"/>
  <c r="AJ187" i="13"/>
  <c r="Q187" i="13"/>
  <c r="AV186" i="13"/>
  <c r="AN186" i="13"/>
  <c r="AM186" i="13"/>
  <c r="AJ186" i="13"/>
  <c r="AD186" i="13"/>
  <c r="AB186" i="13"/>
  <c r="X186" i="13"/>
  <c r="Q186" i="13"/>
  <c r="AV185" i="13"/>
  <c r="AR185" i="13"/>
  <c r="AN185" i="13"/>
  <c r="AM185" i="13"/>
  <c r="AJ185" i="13"/>
  <c r="X185" i="13"/>
  <c r="Q185" i="13"/>
  <c r="AV184" i="13"/>
  <c r="AN184" i="13"/>
  <c r="AM184" i="13"/>
  <c r="AJ184" i="13"/>
  <c r="AD184" i="13" s="1"/>
  <c r="AB184" i="13"/>
  <c r="Q184" i="13"/>
  <c r="AV183" i="13"/>
  <c r="AN183" i="13"/>
  <c r="AM183" i="13"/>
  <c r="AJ183" i="13"/>
  <c r="AB183" i="13" s="1"/>
  <c r="AR183" i="13" s="1"/>
  <c r="Q183" i="13"/>
  <c r="AV182" i="13"/>
  <c r="AN182" i="13"/>
  <c r="AM182" i="13"/>
  <c r="AJ182" i="13"/>
  <c r="AD182" i="13" s="1"/>
  <c r="Q182" i="13"/>
  <c r="AV181" i="13"/>
  <c r="AN181" i="13"/>
  <c r="AM181" i="13"/>
  <c r="AJ181" i="13"/>
  <c r="AD181" i="13" s="1"/>
  <c r="AB181" i="13"/>
  <c r="AR181" i="13" s="1"/>
  <c r="Q181" i="13"/>
  <c r="AV180" i="13"/>
  <c r="AN180" i="13"/>
  <c r="AM180" i="13"/>
  <c r="AJ180" i="13"/>
  <c r="Q180" i="13"/>
  <c r="AV179" i="13"/>
  <c r="AN179" i="13"/>
  <c r="AM179" i="13"/>
  <c r="AJ179" i="13"/>
  <c r="AB179" i="13" s="1"/>
  <c r="AD179" i="13"/>
  <c r="Q179" i="13"/>
  <c r="AV178" i="13"/>
  <c r="AN178" i="13"/>
  <c r="AM178" i="13"/>
  <c r="AJ178" i="13"/>
  <c r="Q178" i="13"/>
  <c r="AV177" i="13"/>
  <c r="AN177" i="13"/>
  <c r="AM177" i="13"/>
  <c r="AJ177" i="13"/>
  <c r="AD177" i="13"/>
  <c r="AB177" i="13"/>
  <c r="AR177" i="13" s="1"/>
  <c r="Q177" i="13"/>
  <c r="AT176" i="13"/>
  <c r="AN176" i="13"/>
  <c r="AM176" i="13"/>
  <c r="AK176" i="13"/>
  <c r="AI176" i="13"/>
  <c r="AH176" i="13"/>
  <c r="AG176" i="13"/>
  <c r="AF176" i="13"/>
  <c r="AE176" i="13"/>
  <c r="S176" i="13"/>
  <c r="R176" i="13"/>
  <c r="AV175" i="13"/>
  <c r="AN175" i="13"/>
  <c r="AM175" i="13"/>
  <c r="AJ175" i="13"/>
  <c r="AD175" i="13" s="1"/>
  <c r="Q175" i="13"/>
  <c r="AA175" i="13" s="1"/>
  <c r="AV174" i="13"/>
  <c r="AN174" i="13"/>
  <c r="AM174" i="13"/>
  <c r="AJ174" i="13"/>
  <c r="AD174" i="13" s="1"/>
  <c r="Q174" i="13"/>
  <c r="AA174" i="13" s="1"/>
  <c r="AD173" i="13"/>
  <c r="AV172" i="13"/>
  <c r="AN172" i="13"/>
  <c r="AM172" i="13"/>
  <c r="AJ172" i="13"/>
  <c r="AB172" i="13" s="1"/>
  <c r="AR172" i="13" s="1"/>
  <c r="Q172" i="13"/>
  <c r="AV171" i="13"/>
  <c r="AN171" i="13"/>
  <c r="AM171" i="13"/>
  <c r="AJ171" i="13"/>
  <c r="AJ176" i="13" s="1"/>
  <c r="Q171" i="13"/>
  <c r="AV170" i="13"/>
  <c r="AV199" i="13" s="1"/>
  <c r="AN170" i="13"/>
  <c r="AM170" i="13"/>
  <c r="AJ170" i="13"/>
  <c r="AD170" i="13" s="1"/>
  <c r="AB170" i="13"/>
  <c r="AR170" i="13" s="1"/>
  <c r="Q170" i="13"/>
  <c r="AT169" i="13"/>
  <c r="AN169" i="13"/>
  <c r="AM169" i="13"/>
  <c r="AK169" i="13"/>
  <c r="AJ169" i="13"/>
  <c r="AI169" i="13"/>
  <c r="AH169" i="13"/>
  <c r="AG169" i="13"/>
  <c r="AF169" i="13"/>
  <c r="AD169" i="13" s="1"/>
  <c r="AE169" i="13"/>
  <c r="S169" i="13"/>
  <c r="R169" i="13"/>
  <c r="AV168" i="13"/>
  <c r="AN168" i="13"/>
  <c r="AM168" i="13"/>
  <c r="AD168" i="13"/>
  <c r="AB168" i="13"/>
  <c r="AR168" i="13" s="1"/>
  <c r="Q168" i="13"/>
  <c r="AA168" i="13" s="1"/>
  <c r="AV167" i="13"/>
  <c r="AN167" i="13"/>
  <c r="AM167" i="13"/>
  <c r="AD167" i="13"/>
  <c r="Q167" i="13"/>
  <c r="AA167" i="13" s="1"/>
  <c r="AV166" i="13"/>
  <c r="AN166" i="13"/>
  <c r="AM166" i="13"/>
  <c r="AD166" i="13"/>
  <c r="AB166" i="13"/>
  <c r="AR166" i="13" s="1"/>
  <c r="Q166" i="13"/>
  <c r="AV165" i="13"/>
  <c r="AN165" i="13"/>
  <c r="AM165" i="13"/>
  <c r="AD165" i="13"/>
  <c r="AB165" i="13"/>
  <c r="AR165" i="13" s="1"/>
  <c r="X165" i="13"/>
  <c r="Q165" i="13"/>
  <c r="AV164" i="13"/>
  <c r="AN164" i="13"/>
  <c r="AM164" i="13"/>
  <c r="AD164" i="13"/>
  <c r="AB164" i="13"/>
  <c r="AR164" i="13" s="1"/>
  <c r="X164" i="13"/>
  <c r="Q164" i="13"/>
  <c r="AV163" i="13"/>
  <c r="AN163" i="13"/>
  <c r="AM163" i="13"/>
  <c r="AD163" i="13"/>
  <c r="AB163" i="13"/>
  <c r="AR163" i="13" s="1"/>
  <c r="Q163" i="13"/>
  <c r="AA163" i="13" s="1"/>
  <c r="AV162" i="13"/>
  <c r="AV169" i="13" s="1"/>
  <c r="AN162" i="13"/>
  <c r="AM162" i="13"/>
  <c r="AD162" i="13"/>
  <c r="AB162" i="13"/>
  <c r="AR162" i="13" s="1"/>
  <c r="Q162" i="13"/>
  <c r="AA162" i="13" s="1"/>
  <c r="AT161" i="13"/>
  <c r="AN161" i="13"/>
  <c r="AM161" i="13"/>
  <c r="AK161" i="13"/>
  <c r="AJ161" i="13"/>
  <c r="AI161" i="13"/>
  <c r="AH161" i="13"/>
  <c r="AG161" i="13"/>
  <c r="AF161" i="13"/>
  <c r="AE161" i="13"/>
  <c r="S161" i="13"/>
  <c r="R161" i="13"/>
  <c r="P161" i="13"/>
  <c r="AV160" i="13"/>
  <c r="AN160" i="13"/>
  <c r="AM160" i="13"/>
  <c r="AD160" i="13"/>
  <c r="AB160" i="13"/>
  <c r="AR160" i="13" s="1"/>
  <c r="Q160" i="13"/>
  <c r="AA160" i="13" s="1"/>
  <c r="AV159" i="13"/>
  <c r="AN159" i="13"/>
  <c r="AM159" i="13"/>
  <c r="AD159" i="13"/>
  <c r="Q159" i="13"/>
  <c r="AA159" i="13" s="1"/>
  <c r="AV158" i="13"/>
  <c r="AN158" i="13"/>
  <c r="AM158" i="13"/>
  <c r="AD158" i="13"/>
  <c r="Q158" i="13"/>
  <c r="AA158" i="13" s="1"/>
  <c r="AV157" i="13"/>
  <c r="AV161" i="13" s="1"/>
  <c r="AN157" i="13"/>
  <c r="AM157" i="13"/>
  <c r="AD157" i="13"/>
  <c r="AB157" i="13"/>
  <c r="AR157" i="13" s="1"/>
  <c r="Q157" i="13"/>
  <c r="AT156" i="13"/>
  <c r="AT193" i="13" s="1"/>
  <c r="AN156" i="13"/>
  <c r="AM156" i="13"/>
  <c r="AK156" i="13"/>
  <c r="AI156" i="13"/>
  <c r="AH156" i="13"/>
  <c r="AG156" i="13"/>
  <c r="AF156" i="13"/>
  <c r="AE156" i="13"/>
  <c r="S156" i="13"/>
  <c r="R156" i="13"/>
  <c r="P156" i="13"/>
  <c r="AV155" i="13"/>
  <c r="AN155" i="13"/>
  <c r="AM155" i="13"/>
  <c r="AJ155" i="13"/>
  <c r="AD155" i="13" s="1"/>
  <c r="Q155" i="13"/>
  <c r="AV154" i="13"/>
  <c r="AN154" i="13"/>
  <c r="AM154" i="13"/>
  <c r="AJ154" i="13"/>
  <c r="AD154" i="13" s="1"/>
  <c r="Q154" i="13"/>
  <c r="AV153" i="13"/>
  <c r="AN153" i="13"/>
  <c r="AM153" i="13"/>
  <c r="AJ153" i="13"/>
  <c r="AB153" i="13" s="1"/>
  <c r="AA153" i="13" s="1"/>
  <c r="X153" i="13"/>
  <c r="Q153" i="13"/>
  <c r="AV152" i="13"/>
  <c r="AV193" i="13" s="1"/>
  <c r="AN152" i="13"/>
  <c r="AM152" i="13"/>
  <c r="AJ152" i="13"/>
  <c r="AD152" i="13" s="1"/>
  <c r="Q152" i="13"/>
  <c r="AV151" i="13"/>
  <c r="AN151" i="13"/>
  <c r="AM151" i="13"/>
  <c r="AJ151" i="13"/>
  <c r="AD151" i="13" s="1"/>
  <c r="Q151" i="13"/>
  <c r="AV150" i="13"/>
  <c r="AN150" i="13"/>
  <c r="AM150" i="13"/>
  <c r="AJ150" i="13"/>
  <c r="AD150" i="13" s="1"/>
  <c r="Q150" i="13"/>
  <c r="AV149" i="13"/>
  <c r="AR149" i="13"/>
  <c r="AN149" i="13"/>
  <c r="AM149" i="13"/>
  <c r="AJ149" i="13"/>
  <c r="AD149" i="13"/>
  <c r="AB149" i="13"/>
  <c r="Q149" i="13"/>
  <c r="AA149" i="13" s="1"/>
  <c r="AV148" i="13"/>
  <c r="AN148" i="13"/>
  <c r="AM148" i="13"/>
  <c r="AJ148" i="13"/>
  <c r="AD148" i="13" s="1"/>
  <c r="Q148" i="13"/>
  <c r="AV147" i="13"/>
  <c r="AN147" i="13"/>
  <c r="AM147" i="13"/>
  <c r="AJ147" i="13"/>
  <c r="AD147" i="13" s="1"/>
  <c r="Q147" i="13"/>
  <c r="AV146" i="13"/>
  <c r="AN146" i="13"/>
  <c r="AM146" i="13"/>
  <c r="AJ146" i="13"/>
  <c r="AD146" i="13" s="1"/>
  <c r="Q146" i="13"/>
  <c r="AV145" i="13"/>
  <c r="AN145" i="13"/>
  <c r="AM145" i="13"/>
  <c r="AJ145" i="13"/>
  <c r="AD145" i="13"/>
  <c r="AB145" i="13"/>
  <c r="AR145" i="13" s="1"/>
  <c r="Q145" i="13"/>
  <c r="AV144" i="13"/>
  <c r="AN144" i="13"/>
  <c r="AM144" i="13"/>
  <c r="AJ144" i="13"/>
  <c r="AB144" i="13" s="1"/>
  <c r="AD144" i="13"/>
  <c r="Q144" i="13"/>
  <c r="AV143" i="13"/>
  <c r="AR143" i="13"/>
  <c r="AN143" i="13"/>
  <c r="AM143" i="13"/>
  <c r="AJ143" i="13"/>
  <c r="Q143" i="13"/>
  <c r="AV142" i="13"/>
  <c r="AN142" i="13"/>
  <c r="AM142" i="13"/>
  <c r="AJ142" i="13"/>
  <c r="AD142" i="13"/>
  <c r="AB142" i="13"/>
  <c r="AV141" i="13"/>
  <c r="AN141" i="13"/>
  <c r="AM141" i="13"/>
  <c r="AJ141" i="13"/>
  <c r="AB141" i="13" s="1"/>
  <c r="Q141" i="13"/>
  <c r="AV140" i="13"/>
  <c r="AN140" i="13"/>
  <c r="AM140" i="13"/>
  <c r="AJ140" i="13"/>
  <c r="AD140" i="13" s="1"/>
  <c r="AB140" i="13"/>
  <c r="Q140" i="13"/>
  <c r="AV139" i="13"/>
  <c r="AN139" i="13"/>
  <c r="AM139" i="13"/>
  <c r="AJ139" i="13"/>
  <c r="AD139" i="13" s="1"/>
  <c r="Q139" i="13"/>
  <c r="AV138" i="13"/>
  <c r="AN138" i="13"/>
  <c r="AM138" i="13"/>
  <c r="AJ138" i="13"/>
  <c r="Q138" i="13"/>
  <c r="AV137" i="13"/>
  <c r="AN137" i="13"/>
  <c r="AM137" i="13"/>
  <c r="AJ137" i="13"/>
  <c r="AD137" i="13" s="1"/>
  <c r="Q137" i="13"/>
  <c r="AV136" i="13"/>
  <c r="AN136" i="13"/>
  <c r="AM136" i="13"/>
  <c r="AJ136" i="13"/>
  <c r="AD136" i="13"/>
  <c r="AB136" i="13"/>
  <c r="AR136" i="13" s="1"/>
  <c r="Q136" i="13"/>
  <c r="AV135" i="13"/>
  <c r="AV156" i="13" s="1"/>
  <c r="AN135" i="13"/>
  <c r="AM135" i="13"/>
  <c r="AJ135" i="13"/>
  <c r="AD135" i="13"/>
  <c r="Q135" i="13"/>
  <c r="AT134" i="13"/>
  <c r="AN134" i="13"/>
  <c r="AM134" i="13"/>
  <c r="AK134" i="13"/>
  <c r="AJ134" i="13"/>
  <c r="AI134" i="13"/>
  <c r="AH134" i="13"/>
  <c r="AG134" i="13"/>
  <c r="AF134" i="13"/>
  <c r="AE134" i="13"/>
  <c r="S134" i="13"/>
  <c r="R134" i="13"/>
  <c r="P134" i="13"/>
  <c r="AV133" i="13"/>
  <c r="AN133" i="13"/>
  <c r="AM133" i="13"/>
  <c r="AD133" i="13"/>
  <c r="AB133" i="13"/>
  <c r="AR133" i="13" s="1"/>
  <c r="Q133" i="13"/>
  <c r="AV132" i="13"/>
  <c r="AN132" i="13"/>
  <c r="AM132" i="13"/>
  <c r="AD132" i="13"/>
  <c r="Q132" i="13"/>
  <c r="AA132" i="13" s="1"/>
  <c r="AV131" i="13"/>
  <c r="AN131" i="13"/>
  <c r="AM131" i="13"/>
  <c r="AD131" i="13"/>
  <c r="AA131" i="13"/>
  <c r="Q131" i="13"/>
  <c r="AV130" i="13"/>
  <c r="AN130" i="13"/>
  <c r="AM130" i="13"/>
  <c r="AD130" i="13"/>
  <c r="AB130" i="13"/>
  <c r="AR130" i="13" s="1"/>
  <c r="Q130" i="13"/>
  <c r="AV129" i="13"/>
  <c r="AN129" i="13"/>
  <c r="AM129" i="13"/>
  <c r="AD129" i="13"/>
  <c r="AB129" i="13"/>
  <c r="AR129" i="13" s="1"/>
  <c r="Q129" i="13"/>
  <c r="AA129" i="13" s="1"/>
  <c r="AV128" i="13"/>
  <c r="AN128" i="13"/>
  <c r="AM128" i="13"/>
  <c r="AD128" i="13"/>
  <c r="AB128" i="13"/>
  <c r="Q128" i="13"/>
  <c r="AV127" i="13"/>
  <c r="AN127" i="13"/>
  <c r="AM127" i="13"/>
  <c r="AD127" i="13"/>
  <c r="AB127" i="13"/>
  <c r="AR127" i="13" s="1"/>
  <c r="X127" i="13"/>
  <c r="Q127" i="13"/>
  <c r="AV126" i="13"/>
  <c r="AV134" i="13" s="1"/>
  <c r="AN126" i="13"/>
  <c r="AM126" i="13"/>
  <c r="AD126" i="13"/>
  <c r="AB126" i="13"/>
  <c r="AA126" i="13"/>
  <c r="X126" i="13"/>
  <c r="Q126" i="13"/>
  <c r="AT125" i="13"/>
  <c r="AN125" i="13"/>
  <c r="AM125" i="13"/>
  <c r="AK125" i="13"/>
  <c r="AI125" i="13"/>
  <c r="AH125" i="13"/>
  <c r="AG125" i="13"/>
  <c r="AF125" i="13"/>
  <c r="AE125" i="13"/>
  <c r="S125" i="13"/>
  <c r="R125" i="13"/>
  <c r="P125" i="13"/>
  <c r="AV124" i="13"/>
  <c r="AN124" i="13"/>
  <c r="AM124" i="13"/>
  <c r="AJ124" i="13"/>
  <c r="AD124" i="13" s="1"/>
  <c r="Q124" i="13"/>
  <c r="AV123" i="13"/>
  <c r="AN123" i="13"/>
  <c r="AM123" i="13"/>
  <c r="AD123" i="13"/>
  <c r="Q123" i="13"/>
  <c r="AA123" i="13" s="1"/>
  <c r="AV122" i="13"/>
  <c r="AN122" i="13"/>
  <c r="AM122" i="13"/>
  <c r="AD122" i="13"/>
  <c r="Q122" i="13"/>
  <c r="AA122" i="13" s="1"/>
  <c r="AV121" i="13"/>
  <c r="AN121" i="13"/>
  <c r="AM121" i="13"/>
  <c r="AD121" i="13"/>
  <c r="Q121" i="13"/>
  <c r="AA121" i="13" s="1"/>
  <c r="AV120" i="13"/>
  <c r="AN120" i="13"/>
  <c r="AM120" i="13"/>
  <c r="AJ120" i="13"/>
  <c r="AD120" i="13" s="1"/>
  <c r="X120" i="13"/>
  <c r="Q120" i="13"/>
  <c r="AV119" i="13"/>
  <c r="AV125" i="13" s="1"/>
  <c r="AN119" i="13"/>
  <c r="AM119" i="13"/>
  <c r="AJ119" i="13"/>
  <c r="AD119" i="13"/>
  <c r="Q119" i="13"/>
  <c r="AT118" i="13"/>
  <c r="AN118" i="13"/>
  <c r="AM118" i="13"/>
  <c r="AK118" i="13"/>
  <c r="AI118" i="13"/>
  <c r="AH118" i="13"/>
  <c r="AG118" i="13"/>
  <c r="AF118" i="13"/>
  <c r="AE118" i="13"/>
  <c r="S118" i="13"/>
  <c r="R118" i="13"/>
  <c r="P118" i="13"/>
  <c r="AV117" i="13"/>
  <c r="AR117" i="13"/>
  <c r="AN117" i="13"/>
  <c r="AM117" i="13"/>
  <c r="AD117" i="13"/>
  <c r="AB117" i="13"/>
  <c r="Q117" i="13"/>
  <c r="AA117" i="13" s="1"/>
  <c r="AV116" i="13"/>
  <c r="AR116" i="13"/>
  <c r="AN116" i="13"/>
  <c r="AM116" i="13"/>
  <c r="AD116" i="13"/>
  <c r="Q116" i="13"/>
  <c r="AA116" i="13" s="1"/>
  <c r="AV115" i="13"/>
  <c r="AN115" i="13"/>
  <c r="AM115" i="13"/>
  <c r="AD115" i="13"/>
  <c r="Q115" i="13"/>
  <c r="AA115" i="13" s="1"/>
  <c r="AV114" i="13"/>
  <c r="AN114" i="13"/>
  <c r="AM114" i="13"/>
  <c r="AD114" i="13"/>
  <c r="Q114" i="13"/>
  <c r="AA114" i="13" s="1"/>
  <c r="AV113" i="13"/>
  <c r="AN113" i="13"/>
  <c r="AM113" i="13"/>
  <c r="AJ113" i="13"/>
  <c r="AD113" i="13" s="1"/>
  <c r="Q113" i="13"/>
  <c r="AV112" i="13"/>
  <c r="AN112" i="13"/>
  <c r="AM112" i="13"/>
  <c r="AJ112" i="13"/>
  <c r="AB112" i="13" s="1"/>
  <c r="Q112" i="13"/>
  <c r="AV111" i="13"/>
  <c r="AV118" i="13" s="1"/>
  <c r="AN111" i="13"/>
  <c r="AM111" i="13"/>
  <c r="AJ111" i="13"/>
  <c r="AD111" i="13" s="1"/>
  <c r="X111" i="13"/>
  <c r="Q111" i="13"/>
  <c r="AT110" i="13"/>
  <c r="AN110" i="13"/>
  <c r="AM110" i="13"/>
  <c r="AJ110" i="13"/>
  <c r="AI110" i="13"/>
  <c r="AH110" i="13"/>
  <c r="AG110" i="13"/>
  <c r="AF110" i="13"/>
  <c r="AE110" i="13"/>
  <c r="S110" i="13"/>
  <c r="R110" i="13"/>
  <c r="AV109" i="13"/>
  <c r="AN109" i="13"/>
  <c r="AM109" i="13"/>
  <c r="AD109" i="13"/>
  <c r="AB109" i="13"/>
  <c r="AR109" i="13" s="1"/>
  <c r="Q109" i="13"/>
  <c r="AA109" i="13" s="1"/>
  <c r="AV108" i="13"/>
  <c r="AN108" i="13"/>
  <c r="AM108" i="13"/>
  <c r="AD108" i="13"/>
  <c r="Q108" i="13"/>
  <c r="AA108" i="13" s="1"/>
  <c r="AV107" i="13"/>
  <c r="AN107" i="13"/>
  <c r="AM107" i="13"/>
  <c r="AD107" i="13"/>
  <c r="Q107" i="13"/>
  <c r="AA107" i="13" s="1"/>
  <c r="AV106" i="13"/>
  <c r="AN106" i="13"/>
  <c r="AM106" i="13"/>
  <c r="AK106" i="13"/>
  <c r="AD106" i="13"/>
  <c r="Q106" i="13"/>
  <c r="AA106" i="13" s="1"/>
  <c r="AV105" i="13"/>
  <c r="AV110" i="13" s="1"/>
  <c r="AN105" i="13"/>
  <c r="AM105" i="13"/>
  <c r="AK105" i="13"/>
  <c r="AD105" i="13"/>
  <c r="AB105" i="13"/>
  <c r="Q105" i="13"/>
  <c r="AT104" i="13"/>
  <c r="AN104" i="13"/>
  <c r="AM104" i="13"/>
  <c r="AK104" i="13"/>
  <c r="AI104" i="13"/>
  <c r="AH104" i="13"/>
  <c r="AG104" i="13"/>
  <c r="AF104" i="13"/>
  <c r="AE104" i="13"/>
  <c r="S104" i="13"/>
  <c r="R104" i="13"/>
  <c r="P104" i="13"/>
  <c r="AV103" i="13"/>
  <c r="AN103" i="13"/>
  <c r="AM103" i="13"/>
  <c r="AJ103" i="13"/>
  <c r="Q103" i="13"/>
  <c r="AV102" i="13"/>
  <c r="AN102" i="13"/>
  <c r="AM102" i="13"/>
  <c r="AD102" i="13"/>
  <c r="AA102" i="13"/>
  <c r="Q102" i="13"/>
  <c r="AV101" i="13"/>
  <c r="AN101" i="13"/>
  <c r="AM101" i="13"/>
  <c r="AD101" i="13"/>
  <c r="Q101" i="13"/>
  <c r="AA101" i="13" s="1"/>
  <c r="AV100" i="13"/>
  <c r="AN100" i="13"/>
  <c r="AM100" i="13"/>
  <c r="AD100" i="13"/>
  <c r="Q100" i="13"/>
  <c r="AA100" i="13" s="1"/>
  <c r="AV99" i="13"/>
  <c r="AN99" i="13"/>
  <c r="AM99" i="13"/>
  <c r="AD99" i="13"/>
  <c r="Q99" i="13"/>
  <c r="AA99" i="13" s="1"/>
  <c r="AV98" i="13"/>
  <c r="AN98" i="13"/>
  <c r="AM98" i="13"/>
  <c r="AD98" i="13"/>
  <c r="AB98" i="13"/>
  <c r="AR98" i="13" s="1"/>
  <c r="X98" i="13"/>
  <c r="Q98" i="13"/>
  <c r="AV97" i="13"/>
  <c r="AV104" i="13" s="1"/>
  <c r="AN97" i="13"/>
  <c r="AM97" i="13"/>
  <c r="AJ97" i="13"/>
  <c r="AB97" i="13"/>
  <c r="AA97" i="13" s="1"/>
  <c r="AT96" i="13"/>
  <c r="AN96" i="13"/>
  <c r="AM96" i="13"/>
  <c r="AK96" i="13"/>
  <c r="AI96" i="13"/>
  <c r="AH96" i="13"/>
  <c r="AG96" i="13"/>
  <c r="AF96" i="13"/>
  <c r="AE96" i="13"/>
  <c r="S96" i="13"/>
  <c r="R96" i="13"/>
  <c r="AV95" i="13"/>
  <c r="AN95" i="13"/>
  <c r="AM95" i="13"/>
  <c r="AD95" i="13"/>
  <c r="Q95" i="13"/>
  <c r="AA95" i="13" s="1"/>
  <c r="AV94" i="13"/>
  <c r="AN94" i="13"/>
  <c r="AM94" i="13"/>
  <c r="AD94" i="13"/>
  <c r="Q94" i="13"/>
  <c r="AA94" i="13" s="1"/>
  <c r="AV93" i="13"/>
  <c r="AN93" i="13"/>
  <c r="AM93" i="13"/>
  <c r="AD93" i="13"/>
  <c r="AA93" i="13"/>
  <c r="Q93" i="13"/>
  <c r="AV92" i="13"/>
  <c r="AR92" i="13"/>
  <c r="AN92" i="13"/>
  <c r="AM92" i="13"/>
  <c r="AD92" i="13"/>
  <c r="AB92" i="13"/>
  <c r="AA92" i="13"/>
  <c r="Q92" i="13"/>
  <c r="AV91" i="13"/>
  <c r="AV96" i="13" s="1"/>
  <c r="AN91" i="13"/>
  <c r="AM91" i="13"/>
  <c r="AJ91" i="13"/>
  <c r="AD91" i="13"/>
  <c r="Q91" i="13"/>
  <c r="AT90" i="13"/>
  <c r="AN90" i="13"/>
  <c r="AM90" i="13"/>
  <c r="AK90" i="13"/>
  <c r="AI90" i="13"/>
  <c r="AH90" i="13"/>
  <c r="AG90" i="13"/>
  <c r="AF90" i="13"/>
  <c r="AE90" i="13"/>
  <c r="S90" i="13"/>
  <c r="R90" i="13"/>
  <c r="P90" i="13"/>
  <c r="AV89" i="13"/>
  <c r="AN89" i="13"/>
  <c r="AM89" i="13"/>
  <c r="AJ89" i="13"/>
  <c r="AD89" i="13" s="1"/>
  <c r="Q89" i="13"/>
  <c r="AV88" i="13"/>
  <c r="AN88" i="13"/>
  <c r="AM88" i="13"/>
  <c r="AJ88" i="13"/>
  <c r="AD88" i="13" s="1"/>
  <c r="Q88" i="13"/>
  <c r="AV87" i="13"/>
  <c r="AN87" i="13"/>
  <c r="AM87" i="13"/>
  <c r="AJ87" i="13"/>
  <c r="AD87" i="13"/>
  <c r="Q87" i="13"/>
  <c r="AV86" i="13"/>
  <c r="AR86" i="13"/>
  <c r="AN86" i="13"/>
  <c r="AM86" i="13"/>
  <c r="AJ86" i="13"/>
  <c r="X86" i="13"/>
  <c r="Q86" i="13"/>
  <c r="AV85" i="13"/>
  <c r="AN85" i="13"/>
  <c r="AM85" i="13"/>
  <c r="AJ85" i="13"/>
  <c r="AD85" i="13" s="1"/>
  <c r="X85" i="13"/>
  <c r="Q85" i="13"/>
  <c r="AV84" i="13"/>
  <c r="AN84" i="13"/>
  <c r="AM84" i="13"/>
  <c r="AJ84" i="13"/>
  <c r="AD84" i="13" s="1"/>
  <c r="X84" i="13"/>
  <c r="Q84" i="13"/>
  <c r="AV83" i="13"/>
  <c r="AN83" i="13"/>
  <c r="AM83" i="13"/>
  <c r="AJ83" i="13"/>
  <c r="AD83" i="13"/>
  <c r="AB83" i="13"/>
  <c r="AR83" i="13" s="1"/>
  <c r="Q83" i="13"/>
  <c r="AV82" i="13"/>
  <c r="AN82" i="13"/>
  <c r="AM82" i="13"/>
  <c r="AJ82" i="13"/>
  <c r="AD82" i="13" s="1"/>
  <c r="X82" i="13"/>
  <c r="Q82" i="13"/>
  <c r="AV81" i="13"/>
  <c r="AN81" i="13"/>
  <c r="AM81" i="13"/>
  <c r="AJ81" i="13"/>
  <c r="AD81" i="13" s="1"/>
  <c r="AB81" i="13"/>
  <c r="AR81" i="13" s="1"/>
  <c r="Q81" i="13"/>
  <c r="AA81" i="13" s="1"/>
  <c r="AV80" i="13"/>
  <c r="AV90" i="13" s="1"/>
  <c r="AN80" i="13"/>
  <c r="AM80" i="13"/>
  <c r="AJ80" i="13"/>
  <c r="AD80" i="13" s="1"/>
  <c r="Q80" i="13"/>
  <c r="AV79" i="13"/>
  <c r="AT79" i="13"/>
  <c r="AN79" i="13"/>
  <c r="AM79" i="13"/>
  <c r="AK79" i="13"/>
  <c r="AI79" i="13"/>
  <c r="AH79" i="13"/>
  <c r="AG79" i="13"/>
  <c r="AF79" i="13"/>
  <c r="AE79" i="13"/>
  <c r="S79" i="13"/>
  <c r="R79" i="13"/>
  <c r="AV78" i="13"/>
  <c r="AN78" i="13"/>
  <c r="AM78" i="13"/>
  <c r="AD78" i="13"/>
  <c r="AB78" i="13"/>
  <c r="AR78" i="13" s="1"/>
  <c r="Q78" i="13"/>
  <c r="AV77" i="13"/>
  <c r="AN77" i="13"/>
  <c r="AM77" i="13"/>
  <c r="AD77" i="13"/>
  <c r="Q77" i="13"/>
  <c r="AA77" i="13" s="1"/>
  <c r="AV76" i="13"/>
  <c r="AN76" i="13"/>
  <c r="AM76" i="13"/>
  <c r="AD76" i="13"/>
  <c r="Q76" i="13"/>
  <c r="AA76" i="13" s="1"/>
  <c r="AV75" i="13"/>
  <c r="AN75" i="13"/>
  <c r="AM75" i="13"/>
  <c r="AJ75" i="13"/>
  <c r="AJ79" i="13" s="1"/>
  <c r="Q75" i="13"/>
  <c r="AV74" i="13"/>
  <c r="AN74" i="13"/>
  <c r="AM74" i="13"/>
  <c r="AD74" i="13"/>
  <c r="AB74" i="13"/>
  <c r="Q74" i="13"/>
  <c r="AA74" i="13" s="1"/>
  <c r="AV73" i="13"/>
  <c r="AN73" i="13"/>
  <c r="AM73" i="13"/>
  <c r="AD73" i="13"/>
  <c r="AB73" i="13"/>
  <c r="AR73" i="13" s="1"/>
  <c r="AA73" i="13"/>
  <c r="X73" i="13"/>
  <c r="Q73" i="13"/>
  <c r="AT72" i="13"/>
  <c r="AN72" i="13"/>
  <c r="AM72" i="13"/>
  <c r="AK72" i="13"/>
  <c r="AI72" i="13"/>
  <c r="AH72" i="13"/>
  <c r="AG72" i="13"/>
  <c r="AF72" i="13"/>
  <c r="AE72" i="13"/>
  <c r="S72" i="13"/>
  <c r="R72" i="13"/>
  <c r="P72" i="13"/>
  <c r="AV71" i="13"/>
  <c r="AN71" i="13"/>
  <c r="AM71" i="13"/>
  <c r="AJ71" i="13"/>
  <c r="AB71" i="13"/>
  <c r="AR71" i="13" s="1"/>
  <c r="Q71" i="13"/>
  <c r="AV70" i="13"/>
  <c r="AN70" i="13"/>
  <c r="AM70" i="13"/>
  <c r="AJ70" i="13"/>
  <c r="AD70" i="13" s="1"/>
  <c r="Q70" i="13"/>
  <c r="AA70" i="13" s="1"/>
  <c r="AV69" i="13"/>
  <c r="AN69" i="13"/>
  <c r="AM69" i="13"/>
  <c r="AJ69" i="13"/>
  <c r="AB69" i="13"/>
  <c r="AR69" i="13" s="1"/>
  <c r="Q69" i="13"/>
  <c r="AV68" i="13"/>
  <c r="AR68" i="13"/>
  <c r="AN68" i="13"/>
  <c r="AM68" i="13"/>
  <c r="AJ68" i="13"/>
  <c r="AD68" i="13" s="1"/>
  <c r="AB68" i="13"/>
  <c r="Q68" i="13"/>
  <c r="AV67" i="13"/>
  <c r="AN67" i="13"/>
  <c r="AM67" i="13"/>
  <c r="AJ67" i="13"/>
  <c r="AD67" i="13" s="1"/>
  <c r="AB67" i="13"/>
  <c r="AR67" i="13" s="1"/>
  <c r="Q67" i="13"/>
  <c r="AA67" i="13" s="1"/>
  <c r="AV66" i="13"/>
  <c r="AN66" i="13"/>
  <c r="AM66" i="13"/>
  <c r="AJ66" i="13"/>
  <c r="AD66" i="13" s="1"/>
  <c r="AB66" i="13"/>
  <c r="AR66" i="13" s="1"/>
  <c r="Q66" i="13"/>
  <c r="AV65" i="13"/>
  <c r="AN65" i="13"/>
  <c r="AM65" i="13"/>
  <c r="AJ65" i="13"/>
  <c r="Q65" i="13"/>
  <c r="AV64" i="13"/>
  <c r="AN64" i="13"/>
  <c r="AM64" i="13"/>
  <c r="AJ64" i="13"/>
  <c r="AD64" i="13"/>
  <c r="AB64" i="13"/>
  <c r="AR64" i="13" s="1"/>
  <c r="Q64" i="13"/>
  <c r="AA64" i="13" s="1"/>
  <c r="AV63" i="13"/>
  <c r="AN63" i="13"/>
  <c r="AM63" i="13"/>
  <c r="AJ63" i="13"/>
  <c r="AD63" i="13" s="1"/>
  <c r="Q63" i="13"/>
  <c r="AV62" i="13"/>
  <c r="AR62" i="13"/>
  <c r="AN62" i="13"/>
  <c r="AM62" i="13"/>
  <c r="AJ62" i="13"/>
  <c r="AB62" i="13" s="1"/>
  <c r="Q62" i="13"/>
  <c r="AA62" i="13" s="1"/>
  <c r="AV61" i="13"/>
  <c r="AN61" i="13"/>
  <c r="AM61" i="13"/>
  <c r="AJ61" i="13"/>
  <c r="AD61" i="13" s="1"/>
  <c r="AB61" i="13"/>
  <c r="AR61" i="13" s="1"/>
  <c r="Q61" i="13"/>
  <c r="AA61" i="13" s="1"/>
  <c r="AV60" i="13"/>
  <c r="AN60" i="13"/>
  <c r="AM60" i="13"/>
  <c r="AJ60" i="13"/>
  <c r="AB60" i="13" s="1"/>
  <c r="Q60" i="13"/>
  <c r="AV59" i="13"/>
  <c r="AR59" i="13"/>
  <c r="AN59" i="13"/>
  <c r="AM59" i="13"/>
  <c r="AJ59" i="13"/>
  <c r="AD59" i="13"/>
  <c r="AB59" i="13"/>
  <c r="Q59" i="13"/>
  <c r="AV58" i="13"/>
  <c r="AR58" i="13"/>
  <c r="AN58" i="13"/>
  <c r="AM58" i="13"/>
  <c r="AJ58" i="13"/>
  <c r="AD58" i="13" s="1"/>
  <c r="Q58" i="13"/>
  <c r="AV57" i="13"/>
  <c r="AN57" i="13"/>
  <c r="AM57" i="13"/>
  <c r="AJ57" i="13"/>
  <c r="AD57" i="13" s="1"/>
  <c r="Q57" i="13"/>
  <c r="AV56" i="13"/>
  <c r="AN56" i="13"/>
  <c r="AM56" i="13"/>
  <c r="AJ56" i="13"/>
  <c r="AD56" i="13" s="1"/>
  <c r="AB56" i="13"/>
  <c r="AR56" i="13" s="1"/>
  <c r="AA56" i="13"/>
  <c r="Q56" i="13"/>
  <c r="AV55" i="13"/>
  <c r="AV72" i="13" s="1"/>
  <c r="AN55" i="13"/>
  <c r="AM55" i="13"/>
  <c r="AJ55" i="13"/>
  <c r="AJ72" i="13" s="1"/>
  <c r="Q55" i="13"/>
  <c r="AT54" i="13"/>
  <c r="AN54" i="13"/>
  <c r="AM54" i="13"/>
  <c r="AK54" i="13"/>
  <c r="AI54" i="13"/>
  <c r="AH54" i="13"/>
  <c r="AG54" i="13"/>
  <c r="AF54" i="13"/>
  <c r="AE54" i="13"/>
  <c r="S54" i="13"/>
  <c r="R54" i="13"/>
  <c r="AV53" i="13"/>
  <c r="AN53" i="13"/>
  <c r="AM53" i="13"/>
  <c r="AD53" i="13"/>
  <c r="Q53" i="13"/>
  <c r="AA53" i="13" s="1"/>
  <c r="AV52" i="13"/>
  <c r="AN52" i="13"/>
  <c r="AM52" i="13"/>
  <c r="AD52" i="13"/>
  <c r="Q52" i="13"/>
  <c r="AA52" i="13" s="1"/>
  <c r="AV51" i="13"/>
  <c r="AV54" i="13" s="1"/>
  <c r="AN51" i="13"/>
  <c r="AM51" i="13"/>
  <c r="AJ51" i="13"/>
  <c r="AD51" i="13" s="1"/>
  <c r="Q51" i="13"/>
  <c r="Q54" i="13" s="1"/>
  <c r="AT50" i="13"/>
  <c r="AN50" i="13"/>
  <c r="AM50" i="13"/>
  <c r="AI50" i="13"/>
  <c r="AH50" i="13"/>
  <c r="AG50" i="13"/>
  <c r="AF50" i="13"/>
  <c r="AE50" i="13"/>
  <c r="S50" i="13"/>
  <c r="R50" i="13"/>
  <c r="AV49" i="13"/>
  <c r="AN49" i="13"/>
  <c r="AM49" i="13"/>
  <c r="AJ49" i="13"/>
  <c r="AB49" i="13" s="1"/>
  <c r="AR49" i="13" s="1"/>
  <c r="Q49" i="13"/>
  <c r="AV48" i="13"/>
  <c r="AN48" i="13"/>
  <c r="AM48" i="13"/>
  <c r="AJ48" i="13"/>
  <c r="AK48" i="13" s="1"/>
  <c r="Q48" i="13"/>
  <c r="AV47" i="13"/>
  <c r="AN47" i="13"/>
  <c r="AM47" i="13"/>
  <c r="AJ47" i="13"/>
  <c r="AD47" i="13" s="1"/>
  <c r="X47" i="13"/>
  <c r="Q47" i="13"/>
  <c r="AV46" i="13"/>
  <c r="AN46" i="13"/>
  <c r="AM46" i="13"/>
  <c r="AJ46" i="13"/>
  <c r="AB46" i="13" s="1"/>
  <c r="AD46" i="13"/>
  <c r="Q46" i="13"/>
  <c r="AV45" i="13"/>
  <c r="AN45" i="13"/>
  <c r="AM45" i="13"/>
  <c r="AJ45" i="13"/>
  <c r="AD45" i="13" s="1"/>
  <c r="Q45" i="13"/>
  <c r="P45" i="13"/>
  <c r="P50" i="13" s="1"/>
  <c r="AV44" i="13"/>
  <c r="AN44" i="13"/>
  <c r="AM44" i="13"/>
  <c r="AJ44" i="13"/>
  <c r="AK44" i="13" s="1"/>
  <c r="Q44" i="13"/>
  <c r="AV43" i="13"/>
  <c r="AN43" i="13"/>
  <c r="AM43" i="13"/>
  <c r="AJ43" i="13"/>
  <c r="AB43" i="13" s="1"/>
  <c r="AD43" i="13"/>
  <c r="Q43" i="13"/>
  <c r="AV42" i="13"/>
  <c r="AN42" i="13"/>
  <c r="AM42" i="13"/>
  <c r="AJ42" i="13"/>
  <c r="Q42" i="13"/>
  <c r="AV41" i="13"/>
  <c r="AN41" i="13"/>
  <c r="AM41" i="13"/>
  <c r="AJ41" i="13"/>
  <c r="AD41" i="13" s="1"/>
  <c r="Q41" i="13"/>
  <c r="AV40" i="13"/>
  <c r="AN40" i="13"/>
  <c r="AM40" i="13"/>
  <c r="AJ40" i="13"/>
  <c r="X40" i="13"/>
  <c r="Q40" i="13"/>
  <c r="AV39" i="13"/>
  <c r="AN39" i="13"/>
  <c r="AM39" i="13"/>
  <c r="AJ39" i="13"/>
  <c r="AD39" i="13" s="1"/>
  <c r="Q39" i="13"/>
  <c r="AV38" i="13"/>
  <c r="AN38" i="13"/>
  <c r="AM38" i="13"/>
  <c r="AJ38" i="13"/>
  <c r="AD38" i="13" s="1"/>
  <c r="Q38" i="13"/>
  <c r="AV37" i="13"/>
  <c r="AN37" i="13"/>
  <c r="AM37" i="13"/>
  <c r="AJ37" i="13"/>
  <c r="AD37" i="13" s="1"/>
  <c r="Q37" i="13"/>
  <c r="AV36" i="13"/>
  <c r="AN36" i="13"/>
  <c r="AM36" i="13"/>
  <c r="AD36" i="13"/>
  <c r="AB36" i="13"/>
  <c r="Q36" i="13"/>
  <c r="AV35" i="13"/>
  <c r="AN35" i="13"/>
  <c r="AM35" i="13"/>
  <c r="AJ35" i="13"/>
  <c r="AD35" i="13"/>
  <c r="AB35" i="13"/>
  <c r="AA35" i="13" s="1"/>
  <c r="Q35" i="13"/>
  <c r="AV34" i="13"/>
  <c r="AN34" i="13"/>
  <c r="AM34" i="13"/>
  <c r="AJ34" i="13"/>
  <c r="AD34" i="13" s="1"/>
  <c r="AB34" i="13"/>
  <c r="AA34" i="13" s="1"/>
  <c r="Q34" i="13"/>
  <c r="AV33" i="13"/>
  <c r="AV50" i="13" s="1"/>
  <c r="AN33" i="13"/>
  <c r="AM33" i="13"/>
  <c r="AJ33" i="13"/>
  <c r="AB33" i="13"/>
  <c r="AR33" i="13" s="1"/>
  <c r="Q33" i="13"/>
  <c r="AT32" i="13"/>
  <c r="AM32" i="13"/>
  <c r="AK32" i="13"/>
  <c r="AH32" i="13"/>
  <c r="AG32" i="13"/>
  <c r="AF32" i="13"/>
  <c r="P32" i="13"/>
  <c r="O32" i="13"/>
  <c r="O260" i="13" s="1"/>
  <c r="AV31" i="13"/>
  <c r="AN31" i="13"/>
  <c r="AM31" i="13"/>
  <c r="AJ31" i="13"/>
  <c r="AB31" i="13" s="1"/>
  <c r="AD31" i="13"/>
  <c r="Q31" i="13"/>
  <c r="AV30" i="13"/>
  <c r="AN30" i="13"/>
  <c r="AM30" i="13"/>
  <c r="AJ30" i="13"/>
  <c r="AD30" i="13"/>
  <c r="AB30" i="13"/>
  <c r="AA30" i="13"/>
  <c r="Q30" i="13"/>
  <c r="AV29" i="13"/>
  <c r="AN29" i="13"/>
  <c r="AM29" i="13"/>
  <c r="AJ29" i="13"/>
  <c r="AI29" i="13" s="1"/>
  <c r="Q29" i="13"/>
  <c r="AV28" i="13"/>
  <c r="AN28" i="13"/>
  <c r="AM28" i="13"/>
  <c r="AJ28" i="13"/>
  <c r="AD28" i="13" s="1"/>
  <c r="Q28" i="13"/>
  <c r="AV27" i="13"/>
  <c r="AN27" i="13"/>
  <c r="AM27" i="13"/>
  <c r="AJ27" i="13"/>
  <c r="AD27" i="13" s="1"/>
  <c r="AB27" i="13"/>
  <c r="AA27" i="13" s="1"/>
  <c r="Q27" i="13"/>
  <c r="AV26" i="13"/>
  <c r="AR26" i="13"/>
  <c r="AN26" i="13"/>
  <c r="AM26" i="13"/>
  <c r="AJ26" i="13"/>
  <c r="AD26" i="13"/>
  <c r="AB26" i="13"/>
  <c r="AA26" i="13" s="1"/>
  <c r="Q26" i="13"/>
  <c r="AV25" i="13"/>
  <c r="AN25" i="13"/>
  <c r="AM25" i="13"/>
  <c r="AJ25" i="13"/>
  <c r="AD25" i="13" s="1"/>
  <c r="Q25" i="13"/>
  <c r="AV24" i="13"/>
  <c r="AN24" i="13"/>
  <c r="AM24" i="13"/>
  <c r="AJ24" i="13"/>
  <c r="AD24" i="13" s="1"/>
  <c r="Q24" i="13"/>
  <c r="AV23" i="13"/>
  <c r="AN23" i="13"/>
  <c r="AM23" i="13"/>
  <c r="AJ23" i="13"/>
  <c r="AD23" i="13" s="1"/>
  <c r="Q23" i="13"/>
  <c r="AV22" i="13"/>
  <c r="AN22" i="13"/>
  <c r="AM22" i="13"/>
  <c r="AJ22" i="13"/>
  <c r="AD22" i="13"/>
  <c r="AB22" i="13"/>
  <c r="AR22" i="13" s="1"/>
  <c r="Q22" i="13"/>
  <c r="AV21" i="13"/>
  <c r="AN21" i="13"/>
  <c r="AM21" i="13"/>
  <c r="AJ21" i="13"/>
  <c r="AD21" i="13" s="1"/>
  <c r="AB21" i="13"/>
  <c r="Q21" i="13"/>
  <c r="AV20" i="13"/>
  <c r="AN20" i="13"/>
  <c r="AM20" i="13"/>
  <c r="AJ20" i="13"/>
  <c r="AB20" i="13" s="1"/>
  <c r="AD20" i="13"/>
  <c r="Q20" i="13"/>
  <c r="AV19" i="13"/>
  <c r="AN19" i="13"/>
  <c r="AM19" i="13"/>
  <c r="S19" i="13"/>
  <c r="AV18" i="13"/>
  <c r="AN18" i="13"/>
  <c r="AM18" i="13"/>
  <c r="S18" i="13"/>
  <c r="Q18" i="13" s="1"/>
  <c r="AV17" i="13"/>
  <c r="AN17" i="13"/>
  <c r="AM17" i="13"/>
  <c r="S17" i="13"/>
  <c r="AV16" i="13"/>
  <c r="AR16" i="13"/>
  <c r="AN16" i="13"/>
  <c r="AM16" i="13"/>
  <c r="AD16" i="13"/>
  <c r="AB16" i="13"/>
  <c r="Q16" i="13"/>
  <c r="AA16" i="13" s="1"/>
  <c r="AV15" i="13"/>
  <c r="AR15" i="13"/>
  <c r="AN15" i="13"/>
  <c r="AD15" i="13"/>
  <c r="AB15" i="13"/>
  <c r="R15" i="13"/>
  <c r="Q15" i="13" s="1"/>
  <c r="AA15" i="13" s="1"/>
  <c r="AV14" i="13"/>
  <c r="AR14" i="13"/>
  <c r="AN14" i="13"/>
  <c r="AD14" i="13"/>
  <c r="AB14" i="13"/>
  <c r="R14" i="13"/>
  <c r="Q14" i="13" s="1"/>
  <c r="AA14" i="13" s="1"/>
  <c r="AV13" i="13"/>
  <c r="AR13" i="13"/>
  <c r="AN13" i="13"/>
  <c r="AD13" i="13"/>
  <c r="AB13" i="13"/>
  <c r="R13" i="13"/>
  <c r="Q13" i="13" s="1"/>
  <c r="AA13" i="13" s="1"/>
  <c r="AV12" i="13"/>
  <c r="AR12" i="13"/>
  <c r="AN12" i="13"/>
  <c r="AJ12" i="13"/>
  <c r="AB12" i="13" s="1"/>
  <c r="AD12" i="13"/>
  <c r="AA12" i="13"/>
  <c r="Q12" i="13"/>
  <c r="AV11" i="13"/>
  <c r="AR11" i="13"/>
  <c r="AN11" i="13"/>
  <c r="AD11" i="13"/>
  <c r="AB11" i="13"/>
  <c r="R11" i="13" s="1"/>
  <c r="Q11" i="13" s="1"/>
  <c r="AA11" i="13" s="1"/>
  <c r="AV10" i="13"/>
  <c r="AR10" i="13"/>
  <c r="AN10" i="13"/>
  <c r="AM10" i="13"/>
  <c r="AE10" i="13"/>
  <c r="Q10" i="13"/>
  <c r="AA10" i="13" s="1"/>
  <c r="AV9" i="13"/>
  <c r="AR9" i="13"/>
  <c r="AN9" i="13"/>
  <c r="AM9" i="13"/>
  <c r="AJ9" i="13"/>
  <c r="AE9" i="13"/>
  <c r="R9" i="13"/>
  <c r="Q9" i="13" s="1"/>
  <c r="AA9" i="13" s="1"/>
  <c r="AV8" i="13"/>
  <c r="AR8" i="13"/>
  <c r="AN8" i="13"/>
  <c r="AM8" i="13"/>
  <c r="AE8" i="13"/>
  <c r="S8" i="13"/>
  <c r="AJ8" i="13" s="1"/>
  <c r="R8" i="13"/>
  <c r="M8" i="13"/>
  <c r="AV7" i="13"/>
  <c r="AR7" i="13"/>
  <c r="AN7" i="13"/>
  <c r="AM7" i="13"/>
  <c r="AJ7" i="13"/>
  <c r="AE7" i="13"/>
  <c r="R7" i="13"/>
  <c r="M7" i="13"/>
  <c r="AV6" i="13"/>
  <c r="AV32" i="13" s="1"/>
  <c r="AV260" i="13" s="1"/>
  <c r="AN6" i="13"/>
  <c r="AM6" i="13"/>
  <c r="AD6" i="13"/>
  <c r="AB6" i="13"/>
  <c r="AR6" i="13" s="1"/>
  <c r="Q6" i="13"/>
  <c r="AA6" i="13" s="1"/>
  <c r="R2" i="13"/>
  <c r="I1246" i="12"/>
  <c r="I1245" i="12"/>
  <c r="I1244" i="12"/>
  <c r="I1243" i="12"/>
  <c r="I1242" i="12"/>
  <c r="I1241" i="12"/>
  <c r="I1240" i="12"/>
  <c r="I1239" i="12"/>
  <c r="I1238" i="12"/>
  <c r="I1237" i="12"/>
  <c r="I1236" i="12"/>
  <c r="I1235" i="12"/>
  <c r="I1234" i="12"/>
  <c r="I1233" i="12"/>
  <c r="I1232" i="12"/>
  <c r="I1231" i="12"/>
  <c r="I1230" i="12"/>
  <c r="I1229" i="12"/>
  <c r="I1228" i="12"/>
  <c r="I1227" i="12"/>
  <c r="I1226" i="12"/>
  <c r="I1225" i="12"/>
  <c r="I1224" i="12"/>
  <c r="I1223" i="12"/>
  <c r="I1222" i="12"/>
  <c r="I1221" i="12"/>
  <c r="I1220" i="12"/>
  <c r="I1219" i="12"/>
  <c r="I1218" i="12"/>
  <c r="I1217" i="12"/>
  <c r="I1216" i="12"/>
  <c r="I1215" i="12"/>
  <c r="I1214" i="12"/>
  <c r="I1213" i="12"/>
  <c r="I1212" i="12"/>
  <c r="I1211" i="12"/>
  <c r="I1210" i="12"/>
  <c r="I1209" i="12"/>
  <c r="I1208" i="12"/>
  <c r="I1207" i="12"/>
  <c r="I1206" i="12"/>
  <c r="I1205" i="12"/>
  <c r="I1204" i="12"/>
  <c r="I1203" i="12"/>
  <c r="I1202" i="12"/>
  <c r="I1201" i="12"/>
  <c r="I1200" i="12"/>
  <c r="I1199" i="12"/>
  <c r="I1198" i="12"/>
  <c r="I1197" i="12"/>
  <c r="I1196" i="12"/>
  <c r="I1195" i="12"/>
  <c r="I1194" i="12"/>
  <c r="I1193" i="12"/>
  <c r="I1192" i="12"/>
  <c r="I1191" i="12"/>
  <c r="I1190" i="12"/>
  <c r="I1189" i="12"/>
  <c r="I1188" i="12"/>
  <c r="I1187" i="12"/>
  <c r="I1186" i="12"/>
  <c r="I1185" i="12"/>
  <c r="I1184" i="12"/>
  <c r="I1183" i="12"/>
  <c r="I1182" i="12"/>
  <c r="I1181" i="12"/>
  <c r="I1180" i="12"/>
  <c r="I1179" i="12"/>
  <c r="I1178" i="12"/>
  <c r="I1177" i="12"/>
  <c r="I1176" i="12"/>
  <c r="I1175" i="12"/>
  <c r="I1174" i="12"/>
  <c r="I1173" i="12"/>
  <c r="I1172" i="12"/>
  <c r="I1171" i="12"/>
  <c r="I1170" i="12"/>
  <c r="I1169" i="12"/>
  <c r="I1168" i="12"/>
  <c r="I1167" i="12"/>
  <c r="I1166" i="12"/>
  <c r="I1165" i="12"/>
  <c r="I1164" i="12"/>
  <c r="I1163" i="12"/>
  <c r="I1162" i="12"/>
  <c r="I1161" i="12"/>
  <c r="I1160" i="12"/>
  <c r="I1159" i="12"/>
  <c r="I1158" i="12"/>
  <c r="I1157" i="12"/>
  <c r="I1156" i="12"/>
  <c r="I1155" i="12"/>
  <c r="I1154" i="12"/>
  <c r="I1153" i="12"/>
  <c r="I1152" i="12"/>
  <c r="I1151" i="12"/>
  <c r="I1150" i="12"/>
  <c r="I1149" i="12"/>
  <c r="I1148" i="12"/>
  <c r="I1147" i="12"/>
  <c r="I1146" i="12"/>
  <c r="I1145" i="12"/>
  <c r="I1144" i="12"/>
  <c r="I1143" i="12"/>
  <c r="I1142" i="12"/>
  <c r="I1141" i="12"/>
  <c r="I1140" i="12"/>
  <c r="I1139" i="12"/>
  <c r="I1138" i="12"/>
  <c r="I1137" i="12"/>
  <c r="I1136" i="12"/>
  <c r="I1135" i="12"/>
  <c r="I1134" i="12"/>
  <c r="I1133" i="12"/>
  <c r="I1132" i="12"/>
  <c r="I1131" i="12"/>
  <c r="I1130" i="12"/>
  <c r="I1129" i="12"/>
  <c r="I1128" i="12"/>
  <c r="I1127" i="12"/>
  <c r="I1126" i="12"/>
  <c r="I1125" i="12"/>
  <c r="I1124" i="12"/>
  <c r="I1123" i="12"/>
  <c r="I1122" i="12"/>
  <c r="I1121" i="12"/>
  <c r="I1120" i="12"/>
  <c r="I1119" i="12"/>
  <c r="I1118" i="12"/>
  <c r="I1117" i="12"/>
  <c r="I1116" i="12"/>
  <c r="I1115" i="12"/>
  <c r="I1114" i="12"/>
  <c r="I1113" i="12"/>
  <c r="I1112" i="12"/>
  <c r="I1111" i="12"/>
  <c r="I1110" i="12"/>
  <c r="I1109" i="12"/>
  <c r="I1108" i="12"/>
  <c r="I1107" i="12"/>
  <c r="I1106" i="12"/>
  <c r="I1105" i="12"/>
  <c r="I1104" i="12"/>
  <c r="I1103" i="12"/>
  <c r="I1102" i="12"/>
  <c r="I1101" i="12"/>
  <c r="I1100" i="12"/>
  <c r="I1099" i="12"/>
  <c r="I1098" i="12"/>
  <c r="I1097" i="12"/>
  <c r="I1096" i="12"/>
  <c r="I1095" i="12"/>
  <c r="I1094" i="12"/>
  <c r="I1093" i="12"/>
  <c r="I1092" i="12"/>
  <c r="I1091" i="12"/>
  <c r="I1090" i="12"/>
  <c r="I1089" i="12"/>
  <c r="I1088" i="12"/>
  <c r="I1087" i="12"/>
  <c r="I1086" i="12"/>
  <c r="I1085" i="12"/>
  <c r="I1084" i="12"/>
  <c r="I1083" i="12"/>
  <c r="I1082" i="12"/>
  <c r="I1081" i="12"/>
  <c r="I1080" i="12"/>
  <c r="I1079" i="12"/>
  <c r="I1078" i="12"/>
  <c r="I1077" i="12"/>
  <c r="I1076" i="12"/>
  <c r="I1075" i="12"/>
  <c r="I1074" i="12"/>
  <c r="I1073" i="12"/>
  <c r="I1072" i="12"/>
  <c r="I1071" i="12"/>
  <c r="I1070" i="12"/>
  <c r="I1069" i="12"/>
  <c r="I1068" i="12"/>
  <c r="I1067" i="12"/>
  <c r="I1066" i="12"/>
  <c r="I1065" i="12"/>
  <c r="I1064" i="12"/>
  <c r="I1063" i="12"/>
  <c r="I1062" i="12"/>
  <c r="I1061" i="12"/>
  <c r="I1060" i="12"/>
  <c r="I1059" i="12"/>
  <c r="I1058" i="12"/>
  <c r="I1057" i="12"/>
  <c r="I1056" i="12"/>
  <c r="I1055" i="12"/>
  <c r="I1054" i="12"/>
  <c r="I1053" i="12"/>
  <c r="I1052" i="12"/>
  <c r="I1051" i="12"/>
  <c r="I1050" i="12"/>
  <c r="I1049" i="12"/>
  <c r="I1048" i="12"/>
  <c r="I1047" i="12"/>
  <c r="I1046" i="12"/>
  <c r="I1045" i="12"/>
  <c r="I1044" i="12"/>
  <c r="I1043" i="12"/>
  <c r="I1042" i="12"/>
  <c r="I1041" i="12"/>
  <c r="I1040" i="12"/>
  <c r="I1039" i="12"/>
  <c r="I1038" i="12"/>
  <c r="I1037" i="12"/>
  <c r="I1036" i="12"/>
  <c r="I1035" i="12"/>
  <c r="I1034" i="12"/>
  <c r="I1033" i="12"/>
  <c r="I1032" i="12"/>
  <c r="I1031" i="12"/>
  <c r="I1030" i="12"/>
  <c r="I1029" i="12"/>
  <c r="I1028" i="12"/>
  <c r="I1027" i="12"/>
  <c r="I1026" i="12"/>
  <c r="I1025" i="12"/>
  <c r="I1024" i="12"/>
  <c r="I1023" i="12"/>
  <c r="I1022" i="12"/>
  <c r="I1021" i="12"/>
  <c r="I1020" i="12"/>
  <c r="I1019" i="12"/>
  <c r="I1018" i="12"/>
  <c r="I1017" i="12"/>
  <c r="I1016" i="12"/>
  <c r="I1015" i="12"/>
  <c r="I1014" i="12"/>
  <c r="I1013" i="12"/>
  <c r="I1012" i="12"/>
  <c r="I1011" i="12"/>
  <c r="I1010" i="12"/>
  <c r="I1009" i="12"/>
  <c r="I1008" i="12"/>
  <c r="I1007" i="12"/>
  <c r="I1006" i="12"/>
  <c r="I1005" i="12"/>
  <c r="I1004" i="12"/>
  <c r="I1003" i="12"/>
  <c r="I1002" i="12"/>
  <c r="I1001" i="12"/>
  <c r="I1000" i="12"/>
  <c r="I999" i="12"/>
  <c r="I998" i="12"/>
  <c r="I997" i="12"/>
  <c r="I996" i="12"/>
  <c r="I995" i="12"/>
  <c r="I994" i="12"/>
  <c r="I993" i="12"/>
  <c r="I992" i="12"/>
  <c r="I991" i="12"/>
  <c r="I990" i="12"/>
  <c r="I989" i="12"/>
  <c r="I988" i="12"/>
  <c r="I987" i="12"/>
  <c r="I986" i="12"/>
  <c r="I985" i="12"/>
  <c r="I984" i="12"/>
  <c r="I983" i="12"/>
  <c r="I982" i="12"/>
  <c r="I981" i="12"/>
  <c r="I980" i="12"/>
  <c r="I979" i="12"/>
  <c r="I978" i="12"/>
  <c r="I977" i="12"/>
  <c r="I976" i="12"/>
  <c r="I975" i="12"/>
  <c r="I974" i="12"/>
  <c r="I973" i="12"/>
  <c r="I972" i="12"/>
  <c r="I971" i="12"/>
  <c r="I970" i="12"/>
  <c r="I969" i="12"/>
  <c r="I968" i="12"/>
  <c r="I967" i="12"/>
  <c r="I966" i="12"/>
  <c r="I965" i="12"/>
  <c r="I964" i="12"/>
  <c r="I963" i="12"/>
  <c r="I962" i="12"/>
  <c r="I961" i="12"/>
  <c r="I960" i="12"/>
  <c r="I959" i="12"/>
  <c r="I958" i="12"/>
  <c r="I957" i="12"/>
  <c r="I956" i="12"/>
  <c r="I955" i="12"/>
  <c r="I954" i="12"/>
  <c r="I953" i="12"/>
  <c r="I952" i="12"/>
  <c r="I951" i="12"/>
  <c r="I950" i="12"/>
  <c r="I949" i="12"/>
  <c r="I948" i="12"/>
  <c r="I947" i="12"/>
  <c r="I946" i="12"/>
  <c r="I945" i="12"/>
  <c r="I944" i="12"/>
  <c r="I943" i="12"/>
  <c r="I942" i="12"/>
  <c r="I941" i="12"/>
  <c r="I940" i="12"/>
  <c r="I939" i="12"/>
  <c r="I938" i="12"/>
  <c r="I937" i="12"/>
  <c r="I936" i="12"/>
  <c r="I935" i="12"/>
  <c r="I934" i="12"/>
  <c r="I933" i="12"/>
  <c r="I932" i="12"/>
  <c r="I931" i="12"/>
  <c r="I930" i="12"/>
  <c r="I929" i="12"/>
  <c r="I928" i="12"/>
  <c r="I927" i="12"/>
  <c r="I926" i="12"/>
  <c r="I925" i="12"/>
  <c r="I924" i="12"/>
  <c r="I923" i="12"/>
  <c r="I922" i="12"/>
  <c r="I921" i="12"/>
  <c r="I920" i="12"/>
  <c r="I919" i="12"/>
  <c r="I918" i="12"/>
  <c r="I917" i="12"/>
  <c r="I916" i="12"/>
  <c r="I915" i="12"/>
  <c r="I914" i="12"/>
  <c r="I913" i="12"/>
  <c r="I912" i="12"/>
  <c r="I911" i="12"/>
  <c r="I910" i="12"/>
  <c r="I909" i="12"/>
  <c r="I908" i="12"/>
  <c r="I907" i="12"/>
  <c r="I906" i="12"/>
  <c r="I905" i="12"/>
  <c r="I904" i="12"/>
  <c r="I903" i="12"/>
  <c r="I902" i="12"/>
  <c r="I901" i="12"/>
  <c r="I900" i="12"/>
  <c r="I899" i="12"/>
  <c r="I898" i="12"/>
  <c r="I897" i="12"/>
  <c r="I896" i="12"/>
  <c r="I895" i="12"/>
  <c r="I894" i="12"/>
  <c r="I893" i="12"/>
  <c r="I892" i="12"/>
  <c r="I891" i="12"/>
  <c r="I890" i="12"/>
  <c r="I889" i="12"/>
  <c r="I888" i="12"/>
  <c r="I887" i="12"/>
  <c r="I886" i="12"/>
  <c r="I885" i="12"/>
  <c r="I884" i="12"/>
  <c r="I883" i="12"/>
  <c r="I882" i="12"/>
  <c r="I881" i="12"/>
  <c r="I880" i="12"/>
  <c r="I879" i="12"/>
  <c r="I878" i="12"/>
  <c r="I877" i="12"/>
  <c r="I876" i="12"/>
  <c r="I875" i="12"/>
  <c r="I874" i="12"/>
  <c r="I873" i="12"/>
  <c r="I872" i="12"/>
  <c r="I871" i="12"/>
  <c r="I870" i="12"/>
  <c r="I869" i="12"/>
  <c r="I868" i="12"/>
  <c r="I867" i="12"/>
  <c r="I866" i="12"/>
  <c r="I865" i="12"/>
  <c r="I864" i="12"/>
  <c r="I863" i="12"/>
  <c r="I862" i="12"/>
  <c r="I861" i="12"/>
  <c r="I860" i="12"/>
  <c r="I859" i="12"/>
  <c r="I858" i="12"/>
  <c r="I857" i="12"/>
  <c r="I856" i="12"/>
  <c r="I855" i="12"/>
  <c r="I854" i="12"/>
  <c r="I853" i="12"/>
  <c r="I852" i="12"/>
  <c r="I851" i="12"/>
  <c r="I850" i="12"/>
  <c r="I849" i="12"/>
  <c r="I848" i="12"/>
  <c r="I847" i="12"/>
  <c r="I846" i="12"/>
  <c r="I845" i="12"/>
  <c r="I844" i="12"/>
  <c r="I843" i="12"/>
  <c r="I842" i="12"/>
  <c r="I841" i="12"/>
  <c r="I840" i="12"/>
  <c r="I839" i="12"/>
  <c r="I838" i="12"/>
  <c r="I837" i="12"/>
  <c r="I836" i="12"/>
  <c r="I835" i="12"/>
  <c r="I834" i="12"/>
  <c r="I833" i="12"/>
  <c r="I832" i="12"/>
  <c r="I831" i="12"/>
  <c r="I830" i="12"/>
  <c r="I829" i="12"/>
  <c r="I828" i="12"/>
  <c r="I827" i="12"/>
  <c r="I826" i="12"/>
  <c r="I825" i="12"/>
  <c r="I824" i="12"/>
  <c r="I823" i="12"/>
  <c r="I822" i="12"/>
  <c r="I821" i="12"/>
  <c r="I820" i="12"/>
  <c r="I819" i="12"/>
  <c r="I818" i="12"/>
  <c r="I817" i="12"/>
  <c r="I816" i="12"/>
  <c r="I815" i="12"/>
  <c r="I814" i="12"/>
  <c r="I813" i="12"/>
  <c r="I812" i="12"/>
  <c r="I811" i="12"/>
  <c r="I810" i="12"/>
  <c r="I809" i="12"/>
  <c r="I808" i="12"/>
  <c r="I807" i="12"/>
  <c r="I806" i="12"/>
  <c r="I805" i="12"/>
  <c r="I804" i="12"/>
  <c r="I803" i="12"/>
  <c r="I802" i="12"/>
  <c r="I801" i="12"/>
  <c r="I800" i="12"/>
  <c r="I799" i="12"/>
  <c r="I798" i="12"/>
  <c r="I797" i="12"/>
  <c r="I796" i="12"/>
  <c r="I795" i="12"/>
  <c r="I794" i="12"/>
  <c r="I793" i="12"/>
  <c r="I792" i="12"/>
  <c r="I791" i="12"/>
  <c r="I790" i="12"/>
  <c r="I789" i="12"/>
  <c r="I788" i="12"/>
  <c r="I787" i="12"/>
  <c r="I786" i="12"/>
  <c r="I785" i="12"/>
  <c r="I784" i="12"/>
  <c r="I783" i="12"/>
  <c r="I782" i="12"/>
  <c r="I781" i="12"/>
  <c r="I780" i="12"/>
  <c r="I779" i="12"/>
  <c r="I778" i="12"/>
  <c r="I777" i="12"/>
  <c r="I776" i="12"/>
  <c r="I775" i="12"/>
  <c r="I774" i="12"/>
  <c r="I773" i="12"/>
  <c r="I772" i="12"/>
  <c r="I771" i="12"/>
  <c r="I770" i="12"/>
  <c r="I769" i="12"/>
  <c r="I768" i="12"/>
  <c r="I767" i="12"/>
  <c r="I766" i="12"/>
  <c r="I765" i="12"/>
  <c r="I764" i="12"/>
  <c r="I763" i="12"/>
  <c r="I762" i="12"/>
  <c r="I761" i="12"/>
  <c r="I760" i="12"/>
  <c r="I759" i="12"/>
  <c r="I758" i="12"/>
  <c r="I757" i="12"/>
  <c r="I756" i="12"/>
  <c r="I755" i="12"/>
  <c r="I754" i="12"/>
  <c r="I753" i="12"/>
  <c r="I752" i="12"/>
  <c r="I751" i="12"/>
  <c r="I750" i="12"/>
  <c r="I749" i="12"/>
  <c r="I748" i="12"/>
  <c r="I747" i="12"/>
  <c r="I746" i="12"/>
  <c r="I745" i="12"/>
  <c r="I744" i="12"/>
  <c r="I743" i="12"/>
  <c r="I742" i="12"/>
  <c r="I741" i="12"/>
  <c r="I740" i="12"/>
  <c r="I739" i="12"/>
  <c r="I738" i="12"/>
  <c r="I737" i="12"/>
  <c r="I736" i="12"/>
  <c r="I735" i="12"/>
  <c r="I734" i="12"/>
  <c r="I733" i="12"/>
  <c r="I732" i="12"/>
  <c r="I731" i="12"/>
  <c r="I730" i="12"/>
  <c r="I729" i="12"/>
  <c r="I728" i="12"/>
  <c r="I727" i="12"/>
  <c r="I726" i="12"/>
  <c r="I725" i="12"/>
  <c r="I724" i="12"/>
  <c r="I723" i="12"/>
  <c r="I722" i="12"/>
  <c r="I721" i="12"/>
  <c r="I720" i="12"/>
  <c r="I719" i="12"/>
  <c r="I718" i="12"/>
  <c r="I717" i="12"/>
  <c r="I716" i="12"/>
  <c r="I715" i="12"/>
  <c r="I714" i="12"/>
  <c r="I713" i="12"/>
  <c r="I712" i="12"/>
  <c r="I711" i="12"/>
  <c r="I710" i="12"/>
  <c r="I709" i="12"/>
  <c r="I708" i="12"/>
  <c r="I707" i="12"/>
  <c r="I706" i="12"/>
  <c r="I705" i="12"/>
  <c r="I704" i="12"/>
  <c r="I703" i="12"/>
  <c r="I702" i="12"/>
  <c r="I701" i="12"/>
  <c r="I700" i="12"/>
  <c r="I699" i="12"/>
  <c r="I698" i="12"/>
  <c r="I697" i="12"/>
  <c r="I696" i="12"/>
  <c r="I695" i="12"/>
  <c r="I694" i="12"/>
  <c r="I693" i="12"/>
  <c r="I692" i="12"/>
  <c r="I691" i="12"/>
  <c r="I690" i="12"/>
  <c r="I689" i="12"/>
  <c r="I688" i="12"/>
  <c r="I687" i="12"/>
  <c r="I686" i="12"/>
  <c r="I685" i="12"/>
  <c r="I684" i="12"/>
  <c r="I683" i="12"/>
  <c r="I682" i="12"/>
  <c r="I681" i="12"/>
  <c r="I680" i="12"/>
  <c r="I679" i="12"/>
  <c r="I678" i="12"/>
  <c r="I677" i="12"/>
  <c r="I676" i="12"/>
  <c r="I675" i="12"/>
  <c r="I674" i="12"/>
  <c r="I673" i="12"/>
  <c r="I672" i="12"/>
  <c r="I671" i="12"/>
  <c r="I670" i="12"/>
  <c r="I669" i="12"/>
  <c r="I668" i="12"/>
  <c r="I667" i="12"/>
  <c r="I666" i="12"/>
  <c r="I665" i="12"/>
  <c r="I664" i="12"/>
  <c r="I663" i="12"/>
  <c r="I662" i="12"/>
  <c r="I661" i="12"/>
  <c r="I660" i="12"/>
  <c r="I659" i="12"/>
  <c r="I658" i="12"/>
  <c r="I657" i="12"/>
  <c r="I656" i="12"/>
  <c r="I655" i="12"/>
  <c r="I654" i="12"/>
  <c r="I653" i="12"/>
  <c r="I652" i="12"/>
  <c r="I651" i="12"/>
  <c r="I650" i="12"/>
  <c r="I649" i="12"/>
  <c r="I648" i="12"/>
  <c r="I647" i="12"/>
  <c r="I646" i="12"/>
  <c r="I645" i="12"/>
  <c r="I644" i="12"/>
  <c r="I643" i="12"/>
  <c r="I642" i="12"/>
  <c r="I641" i="12"/>
  <c r="I640" i="12"/>
  <c r="I639" i="12"/>
  <c r="I638" i="12"/>
  <c r="I637" i="12"/>
  <c r="I636" i="12"/>
  <c r="I635" i="12"/>
  <c r="I634" i="12"/>
  <c r="I633" i="12"/>
  <c r="I632" i="12"/>
  <c r="I631" i="12"/>
  <c r="I630" i="12"/>
  <c r="I629" i="12"/>
  <c r="I628" i="12"/>
  <c r="I627" i="12"/>
  <c r="I626" i="12"/>
  <c r="I625" i="12"/>
  <c r="I624" i="12"/>
  <c r="I623" i="12"/>
  <c r="I622" i="12"/>
  <c r="I621" i="12"/>
  <c r="I620" i="12"/>
  <c r="I619" i="12"/>
  <c r="I618" i="12"/>
  <c r="I617" i="12"/>
  <c r="I616" i="12"/>
  <c r="I615" i="12"/>
  <c r="I614" i="12"/>
  <c r="I613" i="12"/>
  <c r="I612" i="12"/>
  <c r="I611" i="12"/>
  <c r="I610" i="12"/>
  <c r="I609" i="12"/>
  <c r="I608" i="12"/>
  <c r="I607" i="12"/>
  <c r="I606" i="12"/>
  <c r="I605" i="12"/>
  <c r="I604" i="12"/>
  <c r="I603" i="12"/>
  <c r="I602" i="12"/>
  <c r="I601" i="12"/>
  <c r="I600" i="12"/>
  <c r="I599" i="12"/>
  <c r="I598" i="12"/>
  <c r="I597" i="12"/>
  <c r="I596" i="12"/>
  <c r="I595" i="12"/>
  <c r="I594" i="12"/>
  <c r="I593" i="12"/>
  <c r="I592" i="12"/>
  <c r="I591" i="12"/>
  <c r="I590" i="12"/>
  <c r="I589" i="12"/>
  <c r="I588" i="12"/>
  <c r="I587" i="12"/>
  <c r="I586" i="12"/>
  <c r="I585" i="12"/>
  <c r="I584" i="12"/>
  <c r="I583" i="12"/>
  <c r="I582" i="12"/>
  <c r="I581" i="12"/>
  <c r="I580" i="12"/>
  <c r="I579" i="12"/>
  <c r="I578" i="12"/>
  <c r="I577" i="12"/>
  <c r="I576" i="12"/>
  <c r="I575" i="12"/>
  <c r="I574" i="12"/>
  <c r="I573" i="12"/>
  <c r="I572" i="12"/>
  <c r="I571" i="12"/>
  <c r="I570" i="12"/>
  <c r="I569" i="12"/>
  <c r="I568" i="12"/>
  <c r="I567" i="12"/>
  <c r="I566" i="12"/>
  <c r="I565" i="12"/>
  <c r="I564" i="12"/>
  <c r="I563" i="12"/>
  <c r="I562" i="12"/>
  <c r="I561" i="12"/>
  <c r="I560" i="12"/>
  <c r="I559" i="12"/>
  <c r="I558" i="12"/>
  <c r="I557" i="12"/>
  <c r="I556" i="12"/>
  <c r="I555" i="12"/>
  <c r="I554" i="12"/>
  <c r="I553" i="12"/>
  <c r="I552" i="12"/>
  <c r="I551" i="12"/>
  <c r="I550" i="12"/>
  <c r="I549" i="12"/>
  <c r="I548" i="12"/>
  <c r="I547" i="12"/>
  <c r="I546" i="12"/>
  <c r="I545" i="12"/>
  <c r="I544" i="12"/>
  <c r="I543" i="12"/>
  <c r="I542" i="12"/>
  <c r="I541" i="12"/>
  <c r="I540" i="12"/>
  <c r="I539" i="12"/>
  <c r="I538" i="12"/>
  <c r="I537" i="12"/>
  <c r="I536" i="12"/>
  <c r="I535" i="12"/>
  <c r="I534" i="12"/>
  <c r="I533" i="12"/>
  <c r="I532" i="12"/>
  <c r="I531" i="12"/>
  <c r="I530" i="12"/>
  <c r="I529" i="12"/>
  <c r="I528" i="12"/>
  <c r="I527" i="12"/>
  <c r="I526" i="12"/>
  <c r="I525" i="12"/>
  <c r="I524" i="12"/>
  <c r="I523" i="12"/>
  <c r="I522" i="12"/>
  <c r="I521" i="12"/>
  <c r="I520" i="12"/>
  <c r="I519" i="12"/>
  <c r="I518" i="12"/>
  <c r="I517" i="12"/>
  <c r="I516" i="12"/>
  <c r="I515" i="12"/>
  <c r="I514" i="12"/>
  <c r="I513" i="12"/>
  <c r="I512" i="12"/>
  <c r="I511" i="12"/>
  <c r="I510" i="12"/>
  <c r="I509" i="12"/>
  <c r="I508" i="12"/>
  <c r="I507" i="12"/>
  <c r="I506" i="12"/>
  <c r="I505" i="12"/>
  <c r="I504" i="12"/>
  <c r="I503" i="12"/>
  <c r="I502" i="12"/>
  <c r="I501" i="12"/>
  <c r="I500" i="12"/>
  <c r="I499" i="12"/>
  <c r="I498" i="12"/>
  <c r="I497" i="12"/>
  <c r="I496" i="12"/>
  <c r="I495" i="12"/>
  <c r="I494" i="12"/>
  <c r="I493" i="12"/>
  <c r="I492" i="12"/>
  <c r="I491" i="12"/>
  <c r="I490" i="12"/>
  <c r="I489" i="12"/>
  <c r="I488" i="12"/>
  <c r="I487" i="12"/>
  <c r="I486" i="12"/>
  <c r="I485" i="12"/>
  <c r="I484" i="12"/>
  <c r="I483" i="12"/>
  <c r="I482" i="12"/>
  <c r="I481" i="12"/>
  <c r="I480" i="12"/>
  <c r="I479" i="12"/>
  <c r="I478" i="12"/>
  <c r="I477" i="12"/>
  <c r="I476" i="12"/>
  <c r="I475" i="12"/>
  <c r="I474" i="12"/>
  <c r="I473" i="12"/>
  <c r="I472" i="12"/>
  <c r="I471" i="12"/>
  <c r="I470" i="12"/>
  <c r="I469" i="12"/>
  <c r="I468" i="12"/>
  <c r="I467" i="12"/>
  <c r="I466" i="12"/>
  <c r="I465" i="12"/>
  <c r="I464" i="12"/>
  <c r="I463" i="12"/>
  <c r="I462" i="12"/>
  <c r="I461" i="12"/>
  <c r="I460" i="12"/>
  <c r="I459" i="12"/>
  <c r="I458" i="12"/>
  <c r="I457" i="12"/>
  <c r="I456" i="12"/>
  <c r="I455" i="12"/>
  <c r="I454" i="12"/>
  <c r="I453" i="12"/>
  <c r="I452" i="12"/>
  <c r="I451" i="12"/>
  <c r="I450" i="12"/>
  <c r="I449" i="12"/>
  <c r="I448" i="12"/>
  <c r="I447" i="12"/>
  <c r="I446" i="12"/>
  <c r="I445" i="12"/>
  <c r="I444" i="12"/>
  <c r="I443" i="12"/>
  <c r="I442" i="12"/>
  <c r="I441" i="12"/>
  <c r="I440" i="12"/>
  <c r="I439" i="12"/>
  <c r="I438" i="12"/>
  <c r="I437" i="12"/>
  <c r="I436" i="12"/>
  <c r="I435" i="12"/>
  <c r="I434" i="12"/>
  <c r="I433" i="12"/>
  <c r="I432" i="12"/>
  <c r="I431" i="12"/>
  <c r="I430" i="12"/>
  <c r="I429" i="12"/>
  <c r="I428" i="12"/>
  <c r="I427" i="12"/>
  <c r="I426" i="12"/>
  <c r="I425" i="12"/>
  <c r="I424" i="12"/>
  <c r="I423" i="12"/>
  <c r="I422" i="12"/>
  <c r="I421" i="12"/>
  <c r="I420" i="12"/>
  <c r="I419" i="12"/>
  <c r="I418" i="12"/>
  <c r="I417" i="12"/>
  <c r="I416" i="12"/>
  <c r="I415" i="12"/>
  <c r="I414" i="12"/>
  <c r="I413" i="12"/>
  <c r="I412" i="12"/>
  <c r="I411" i="12"/>
  <c r="I410" i="12"/>
  <c r="I409" i="12"/>
  <c r="I408" i="12"/>
  <c r="I407" i="12"/>
  <c r="I406" i="12"/>
  <c r="I405" i="12"/>
  <c r="I404" i="12"/>
  <c r="I403" i="12"/>
  <c r="I402" i="12"/>
  <c r="I401" i="12"/>
  <c r="I400" i="12"/>
  <c r="I399" i="12"/>
  <c r="I398" i="12"/>
  <c r="I397" i="12"/>
  <c r="I396" i="12"/>
  <c r="I395" i="12"/>
  <c r="I394" i="12"/>
  <c r="I393" i="12"/>
  <c r="I392" i="12"/>
  <c r="I391" i="12"/>
  <c r="I390" i="12"/>
  <c r="I389" i="12"/>
  <c r="I388" i="12"/>
  <c r="I387" i="12"/>
  <c r="I386" i="12"/>
  <c r="I385" i="12"/>
  <c r="I384" i="12"/>
  <c r="I383" i="12"/>
  <c r="I382" i="12"/>
  <c r="I381" i="12"/>
  <c r="I380" i="12"/>
  <c r="I379" i="12"/>
  <c r="I378" i="12"/>
  <c r="I377" i="12"/>
  <c r="I376" i="12"/>
  <c r="I375" i="12"/>
  <c r="I374" i="12"/>
  <c r="I373" i="12"/>
  <c r="I372" i="12"/>
  <c r="I371" i="12"/>
  <c r="I370" i="12"/>
  <c r="I369" i="12"/>
  <c r="I368" i="12"/>
  <c r="I367" i="12"/>
  <c r="I366" i="12"/>
  <c r="I365" i="12"/>
  <c r="I364" i="12"/>
  <c r="I363" i="12"/>
  <c r="I362" i="12"/>
  <c r="I361" i="12"/>
  <c r="I360" i="12"/>
  <c r="I359" i="12"/>
  <c r="I358" i="12"/>
  <c r="I357" i="12"/>
  <c r="I356" i="12"/>
  <c r="I355" i="12"/>
  <c r="I354" i="12"/>
  <c r="I353" i="12"/>
  <c r="I352" i="12"/>
  <c r="I351" i="12"/>
  <c r="I350" i="12"/>
  <c r="I349" i="12"/>
  <c r="I348" i="12"/>
  <c r="I347" i="12"/>
  <c r="I346" i="12"/>
  <c r="I345" i="12"/>
  <c r="I344" i="12"/>
  <c r="I343" i="12"/>
  <c r="I342" i="12"/>
  <c r="I341" i="12"/>
  <c r="I340" i="12"/>
  <c r="I339" i="12"/>
  <c r="I338" i="12"/>
  <c r="I337" i="12"/>
  <c r="I336" i="12"/>
  <c r="I335" i="12"/>
  <c r="I334" i="12"/>
  <c r="I333" i="12"/>
  <c r="I332" i="12"/>
  <c r="I331" i="12"/>
  <c r="I330" i="12"/>
  <c r="I329" i="12"/>
  <c r="I328" i="12"/>
  <c r="I327" i="12"/>
  <c r="I326" i="12"/>
  <c r="I325" i="12"/>
  <c r="I324" i="12"/>
  <c r="I323" i="12"/>
  <c r="I322" i="12"/>
  <c r="I321" i="12"/>
  <c r="I320" i="12"/>
  <c r="I319" i="12"/>
  <c r="I318" i="12"/>
  <c r="I317" i="12"/>
  <c r="I316" i="12"/>
  <c r="I315" i="12"/>
  <c r="I314" i="12"/>
  <c r="I313" i="12"/>
  <c r="I312" i="12"/>
  <c r="I311" i="12"/>
  <c r="I310" i="12"/>
  <c r="I309" i="12"/>
  <c r="I308" i="12"/>
  <c r="I307" i="12"/>
  <c r="I306" i="12"/>
  <c r="I305" i="12"/>
  <c r="I304" i="12"/>
  <c r="I303" i="12"/>
  <c r="I302" i="12"/>
  <c r="I301" i="12"/>
  <c r="I300" i="12"/>
  <c r="I299" i="12"/>
  <c r="I298" i="12"/>
  <c r="I297" i="12"/>
  <c r="I296" i="12"/>
  <c r="I295" i="12"/>
  <c r="I294" i="12"/>
  <c r="I293" i="12"/>
  <c r="I292" i="12"/>
  <c r="I291" i="12"/>
  <c r="I290" i="12"/>
  <c r="I289" i="12"/>
  <c r="I288" i="12"/>
  <c r="I287" i="12"/>
  <c r="I286" i="12"/>
  <c r="I285" i="12"/>
  <c r="I284" i="12"/>
  <c r="I283" i="12"/>
  <c r="I282" i="12"/>
  <c r="I281" i="12"/>
  <c r="I280" i="12"/>
  <c r="I279" i="12"/>
  <c r="I278" i="12"/>
  <c r="I277" i="12"/>
  <c r="I276" i="12"/>
  <c r="I275" i="12"/>
  <c r="I274" i="12"/>
  <c r="I273" i="12"/>
  <c r="I272" i="12"/>
  <c r="I271" i="12"/>
  <c r="I270" i="12"/>
  <c r="I269" i="12"/>
  <c r="I268" i="12"/>
  <c r="I267" i="12"/>
  <c r="I266" i="12"/>
  <c r="I265" i="12"/>
  <c r="I264" i="12"/>
  <c r="I263" i="12"/>
  <c r="I262" i="12"/>
  <c r="I261" i="12"/>
  <c r="I260" i="12"/>
  <c r="I259" i="12"/>
  <c r="I258" i="12"/>
  <c r="I257" i="12"/>
  <c r="I256" i="12"/>
  <c r="I255" i="12"/>
  <c r="I254" i="12"/>
  <c r="I253" i="12"/>
  <c r="I252" i="12"/>
  <c r="I251" i="12"/>
  <c r="I250" i="12"/>
  <c r="I249" i="12"/>
  <c r="I248" i="12"/>
  <c r="I247" i="12"/>
  <c r="I246" i="12"/>
  <c r="I245" i="12"/>
  <c r="I244" i="12"/>
  <c r="I243" i="12"/>
  <c r="I242" i="12"/>
  <c r="I241" i="12"/>
  <c r="I240" i="12"/>
  <c r="I239" i="12"/>
  <c r="I238" i="12"/>
  <c r="I237" i="12"/>
  <c r="I236" i="12"/>
  <c r="I235" i="12"/>
  <c r="I234" i="12"/>
  <c r="I233" i="12"/>
  <c r="I232" i="12"/>
  <c r="I231" i="12"/>
  <c r="I230" i="12"/>
  <c r="I229" i="12"/>
  <c r="I228" i="12"/>
  <c r="I227" i="12"/>
  <c r="I226" i="12"/>
  <c r="I225" i="12"/>
  <c r="I224" i="12"/>
  <c r="I223" i="12"/>
  <c r="I222" i="12"/>
  <c r="I221" i="12"/>
  <c r="I220" i="12"/>
  <c r="I219" i="12"/>
  <c r="I218" i="12"/>
  <c r="I217" i="12"/>
  <c r="I216" i="12"/>
  <c r="I215" i="12"/>
  <c r="I214" i="12"/>
  <c r="I213" i="12"/>
  <c r="I212" i="12"/>
  <c r="I211" i="12"/>
  <c r="I210" i="12"/>
  <c r="I209" i="12"/>
  <c r="I208" i="12"/>
  <c r="I207" i="12"/>
  <c r="I206" i="12"/>
  <c r="I205" i="12"/>
  <c r="I204" i="12"/>
  <c r="I203" i="12"/>
  <c r="I202" i="12"/>
  <c r="I201" i="12"/>
  <c r="I200" i="12"/>
  <c r="I199" i="12"/>
  <c r="I198" i="12"/>
  <c r="I197" i="12"/>
  <c r="I196" i="12"/>
  <c r="I195" i="12"/>
  <c r="I194" i="12"/>
  <c r="I193" i="12"/>
  <c r="I192" i="12"/>
  <c r="I191" i="12"/>
  <c r="I190" i="12"/>
  <c r="I189" i="12"/>
  <c r="I188" i="12"/>
  <c r="I187" i="12"/>
  <c r="I186" i="12"/>
  <c r="I185" i="12"/>
  <c r="I184" i="12"/>
  <c r="I183" i="12"/>
  <c r="I182" i="12"/>
  <c r="I181" i="12"/>
  <c r="I180" i="12"/>
  <c r="I179" i="12"/>
  <c r="I178" i="12"/>
  <c r="I177" i="12"/>
  <c r="I176" i="12"/>
  <c r="I175" i="12"/>
  <c r="I174" i="12"/>
  <c r="I173" i="12"/>
  <c r="I172" i="12"/>
  <c r="I171" i="12"/>
  <c r="I170" i="12"/>
  <c r="I169" i="12"/>
  <c r="I168" i="12"/>
  <c r="I167" i="12"/>
  <c r="I166" i="12"/>
  <c r="I165" i="12"/>
  <c r="I164" i="12"/>
  <c r="I163" i="12"/>
  <c r="I162" i="12"/>
  <c r="I161" i="12"/>
  <c r="I160" i="12"/>
  <c r="I159" i="12"/>
  <c r="I158" i="12"/>
  <c r="I157" i="12"/>
  <c r="I156" i="12"/>
  <c r="I155" i="12"/>
  <c r="I154" i="12"/>
  <c r="I153" i="12"/>
  <c r="I152" i="12"/>
  <c r="I151" i="12"/>
  <c r="I150" i="12"/>
  <c r="I149" i="12"/>
  <c r="I148" i="12"/>
  <c r="I147" i="12"/>
  <c r="I146" i="12"/>
  <c r="I145" i="12"/>
  <c r="I144" i="12"/>
  <c r="I143" i="12"/>
  <c r="I142" i="12"/>
  <c r="I141" i="12"/>
  <c r="I140" i="12"/>
  <c r="I139" i="12"/>
  <c r="I138" i="12"/>
  <c r="I137" i="12"/>
  <c r="I136" i="12"/>
  <c r="I135" i="12"/>
  <c r="I134" i="12"/>
  <c r="I133" i="12"/>
  <c r="I132" i="12"/>
  <c r="I131" i="12"/>
  <c r="I130" i="12"/>
  <c r="I129" i="12"/>
  <c r="I128" i="12"/>
  <c r="I127" i="12"/>
  <c r="I126" i="12"/>
  <c r="I125" i="12"/>
  <c r="I124" i="12"/>
  <c r="I123" i="12"/>
  <c r="I122" i="12"/>
  <c r="I121" i="12"/>
  <c r="I120" i="12"/>
  <c r="I119" i="12"/>
  <c r="I118" i="12"/>
  <c r="I117" i="12"/>
  <c r="I116" i="12"/>
  <c r="I115" i="12"/>
  <c r="I114" i="12"/>
  <c r="I113" i="12"/>
  <c r="I112" i="12"/>
  <c r="I111" i="12"/>
  <c r="I110" i="12"/>
  <c r="I109" i="12"/>
  <c r="I108" i="12"/>
  <c r="I107" i="12"/>
  <c r="I106" i="12"/>
  <c r="I105" i="12"/>
  <c r="I104" i="12"/>
  <c r="I103" i="12"/>
  <c r="I102" i="12"/>
  <c r="I101" i="12"/>
  <c r="I100" i="12"/>
  <c r="I99" i="12"/>
  <c r="I98" i="12"/>
  <c r="I97" i="12"/>
  <c r="I96" i="12"/>
  <c r="I95" i="12"/>
  <c r="I94" i="12"/>
  <c r="I93" i="12"/>
  <c r="I92" i="12"/>
  <c r="I91" i="12"/>
  <c r="I90" i="12"/>
  <c r="I89" i="12"/>
  <c r="I88" i="12"/>
  <c r="I87" i="12"/>
  <c r="I86" i="12"/>
  <c r="I85" i="12"/>
  <c r="I84" i="12"/>
  <c r="I83" i="12"/>
  <c r="I82" i="12"/>
  <c r="I81" i="12"/>
  <c r="I80" i="12"/>
  <c r="I79" i="12"/>
  <c r="I78" i="12"/>
  <c r="I77" i="12"/>
  <c r="I76" i="12"/>
  <c r="I75" i="12"/>
  <c r="I74" i="12"/>
  <c r="I73" i="12"/>
  <c r="I72" i="12"/>
  <c r="I71" i="12"/>
  <c r="I70" i="12"/>
  <c r="I69" i="12"/>
  <c r="I68" i="12"/>
  <c r="I67" i="12"/>
  <c r="I66" i="12"/>
  <c r="I65" i="12"/>
  <c r="I64" i="12"/>
  <c r="I63" i="12"/>
  <c r="I62" i="12"/>
  <c r="I61" i="12"/>
  <c r="I60" i="12"/>
  <c r="I59" i="12"/>
  <c r="I58" i="12"/>
  <c r="I57" i="12"/>
  <c r="I56" i="12"/>
  <c r="I55" i="12"/>
  <c r="I54" i="12"/>
  <c r="I53" i="12"/>
  <c r="I52" i="12"/>
  <c r="I51" i="12"/>
  <c r="I50" i="12"/>
  <c r="I49" i="12"/>
  <c r="I48" i="12"/>
  <c r="I47" i="12"/>
  <c r="I46" i="12"/>
  <c r="I45" i="12"/>
  <c r="I44" i="12"/>
  <c r="I43" i="12"/>
  <c r="I42" i="12"/>
  <c r="I41" i="12"/>
  <c r="I40" i="12"/>
  <c r="I39" i="12"/>
  <c r="I38" i="12"/>
  <c r="I37" i="12"/>
  <c r="I36" i="12"/>
  <c r="I35" i="12"/>
  <c r="I34" i="12"/>
  <c r="I33" i="12"/>
  <c r="I32" i="12"/>
  <c r="I31" i="12"/>
  <c r="I30" i="12"/>
  <c r="I29" i="12"/>
  <c r="I28" i="12"/>
  <c r="I27" i="12"/>
  <c r="I26" i="12"/>
  <c r="I25" i="12"/>
  <c r="I24" i="12"/>
  <c r="I23" i="12"/>
  <c r="I22" i="12"/>
  <c r="I21" i="12"/>
  <c r="I20" i="12"/>
  <c r="I19" i="12"/>
  <c r="I18" i="12"/>
  <c r="I17" i="12"/>
  <c r="I16" i="12"/>
  <c r="I15" i="12"/>
  <c r="I14" i="12"/>
  <c r="I13" i="12"/>
  <c r="I12" i="12"/>
  <c r="I11" i="12"/>
  <c r="I10" i="12"/>
  <c r="I9" i="12"/>
  <c r="I8" i="12"/>
  <c r="I7" i="12"/>
  <c r="I6" i="12"/>
  <c r="I5" i="12"/>
  <c r="I4" i="12"/>
  <c r="I3" i="12"/>
  <c r="Q193" i="13" l="1"/>
  <c r="AA177" i="13"/>
  <c r="AD9" i="13"/>
  <c r="AD10" i="13"/>
  <c r="AB10" i="13"/>
  <c r="AK50" i="13"/>
  <c r="AD180" i="13"/>
  <c r="AB180" i="13"/>
  <c r="AR180" i="13" s="1"/>
  <c r="Q263" i="13"/>
  <c r="AA263" i="13" s="1"/>
  <c r="AR263" i="13"/>
  <c r="AD283" i="13"/>
  <c r="AB283" i="13"/>
  <c r="AR283" i="13" s="1"/>
  <c r="AD205" i="13"/>
  <c r="AB205" i="13"/>
  <c r="AR205" i="13" s="1"/>
  <c r="R32" i="13"/>
  <c r="R260" i="13" s="1"/>
  <c r="AA21" i="13"/>
  <c r="AR21" i="13"/>
  <c r="AR34" i="13"/>
  <c r="AD42" i="13"/>
  <c r="AB42" i="13"/>
  <c r="AR42" i="13" s="1"/>
  <c r="AA43" i="13"/>
  <c r="AR43" i="13"/>
  <c r="AA66" i="13"/>
  <c r="AD187" i="13"/>
  <c r="AB187" i="13"/>
  <c r="AA198" i="13"/>
  <c r="AA241" i="13"/>
  <c r="AR241" i="13"/>
  <c r="AB271" i="13"/>
  <c r="AA271" i="13" s="1"/>
  <c r="AD271" i="13"/>
  <c r="Q304" i="13"/>
  <c r="AA304" i="13" s="1"/>
  <c r="AR304" i="13"/>
  <c r="AD308" i="13"/>
  <c r="AB308" i="13"/>
  <c r="Q316" i="13"/>
  <c r="AA316" i="13" s="1"/>
  <c r="AR316" i="13"/>
  <c r="AA86" i="13"/>
  <c r="AD86" i="13"/>
  <c r="AA312" i="13"/>
  <c r="Q312" i="13"/>
  <c r="AE32" i="13"/>
  <c r="Q19" i="13"/>
  <c r="AJ19" i="13"/>
  <c r="AD19" i="13" s="1"/>
  <c r="AD60" i="13"/>
  <c r="AA78" i="13"/>
  <c r="AJ104" i="13"/>
  <c r="AD153" i="13"/>
  <c r="AA154" i="13"/>
  <c r="AB155" i="13"/>
  <c r="AA155" i="13" s="1"/>
  <c r="AA157" i="13"/>
  <c r="AA161" i="13" s="1"/>
  <c r="AA170" i="13"/>
  <c r="AD172" i="13"/>
  <c r="AB194" i="13"/>
  <c r="AB199" i="13" s="1"/>
  <c r="AJ199" i="13"/>
  <c r="AD199" i="13" s="1"/>
  <c r="AD239" i="13"/>
  <c r="AB239" i="13"/>
  <c r="AD248" i="13"/>
  <c r="AD254" i="13"/>
  <c r="AB254" i="13"/>
  <c r="AD270" i="13"/>
  <c r="AD286" i="13"/>
  <c r="AB286" i="13"/>
  <c r="AR286" i="13" s="1"/>
  <c r="AA295" i="13"/>
  <c r="AA36" i="13"/>
  <c r="AR36" i="13"/>
  <c r="AR141" i="13"/>
  <c r="AA141" i="13"/>
  <c r="AD251" i="13"/>
  <c r="AB251" i="13"/>
  <c r="Q264" i="13"/>
  <c r="AA264" i="13" s="1"/>
  <c r="AR264" i="13"/>
  <c r="AD40" i="13"/>
  <c r="AB40" i="13"/>
  <c r="AA40" i="13" s="1"/>
  <c r="AJ54" i="13"/>
  <c r="AB51" i="13"/>
  <c r="AA60" i="13"/>
  <c r="AR60" i="13"/>
  <c r="AD65" i="13"/>
  <c r="AB65" i="13"/>
  <c r="AR65" i="13" s="1"/>
  <c r="AD71" i="13"/>
  <c r="AA71" i="13"/>
  <c r="AR142" i="13"/>
  <c r="AA142" i="13"/>
  <c r="AA206" i="13"/>
  <c r="AD246" i="13"/>
  <c r="AB246" i="13"/>
  <c r="AR246" i="13" s="1"/>
  <c r="AD253" i="13"/>
  <c r="AB253" i="13"/>
  <c r="AA253" i="13" s="1"/>
  <c r="AD103" i="13"/>
  <c r="AB103" i="13"/>
  <c r="AR103" i="13" s="1"/>
  <c r="AJ50" i="13"/>
  <c r="AD49" i="13"/>
  <c r="AD69" i="13"/>
  <c r="AA69" i="13"/>
  <c r="AR79" i="13"/>
  <c r="AJ96" i="13"/>
  <c r="AB91" i="13"/>
  <c r="AB110" i="13"/>
  <c r="AR105" i="13"/>
  <c r="AR110" i="13" s="1"/>
  <c r="AA130" i="13"/>
  <c r="AA136" i="13"/>
  <c r="AD141" i="13"/>
  <c r="AT199" i="13"/>
  <c r="AT202" i="13" s="1"/>
  <c r="AA181" i="13"/>
  <c r="AD183" i="13"/>
  <c r="AA184" i="13"/>
  <c r="AB206" i="13"/>
  <c r="AR206" i="13" s="1"/>
  <c r="AA230" i="13"/>
  <c r="AR230" i="13"/>
  <c r="AB245" i="13"/>
  <c r="AD245" i="13"/>
  <c r="AD252" i="13"/>
  <c r="AB252" i="13"/>
  <c r="Q265" i="13"/>
  <c r="AA265" i="13" s="1"/>
  <c r="AR265" i="13"/>
  <c r="AA280" i="13"/>
  <c r="AA282" i="13"/>
  <c r="Q298" i="13"/>
  <c r="AA298" i="13" s="1"/>
  <c r="AI298" i="13"/>
  <c r="AD298" i="13" s="1"/>
  <c r="AA22" i="13"/>
  <c r="AR35" i="13"/>
  <c r="AA57" i="13"/>
  <c r="AA59" i="13"/>
  <c r="AD62" i="13"/>
  <c r="AA68" i="13"/>
  <c r="AB75" i="13"/>
  <c r="AB79" i="13" s="1"/>
  <c r="Q90" i="13"/>
  <c r="AA83" i="13"/>
  <c r="AK110" i="13"/>
  <c r="AD112" i="13"/>
  <c r="AB113" i="13"/>
  <c r="AR113" i="13" s="1"/>
  <c r="AB139" i="13"/>
  <c r="AR139" i="13" s="1"/>
  <c r="AR161" i="13"/>
  <c r="AA164" i="13"/>
  <c r="AB189" i="13"/>
  <c r="AA189" i="13" s="1"/>
  <c r="AA190" i="13"/>
  <c r="AR201" i="13"/>
  <c r="AJ223" i="13"/>
  <c r="AD223" i="13" s="1"/>
  <c r="AA209" i="13"/>
  <c r="AJ231" i="13"/>
  <c r="AD231" i="13" s="1"/>
  <c r="AB233" i="13"/>
  <c r="AR233" i="13" s="1"/>
  <c r="AB237" i="13"/>
  <c r="AA237" i="13" s="1"/>
  <c r="AA242" i="13"/>
  <c r="AJ324" i="13"/>
  <c r="AA291" i="13"/>
  <c r="AA320" i="13"/>
  <c r="AA42" i="13"/>
  <c r="AB57" i="13"/>
  <c r="AR57" i="13" s="1"/>
  <c r="AA103" i="13"/>
  <c r="AD110" i="13"/>
  <c r="Q125" i="13"/>
  <c r="AB137" i="13"/>
  <c r="AR137" i="13" s="1"/>
  <c r="AB146" i="13"/>
  <c r="AR146" i="13" s="1"/>
  <c r="AB150" i="13"/>
  <c r="AA150" i="13" s="1"/>
  <c r="AB151" i="13"/>
  <c r="AA151" i="13" s="1"/>
  <c r="AB152" i="13"/>
  <c r="AA152" i="13" s="1"/>
  <c r="AA205" i="13"/>
  <c r="AA226" i="13"/>
  <c r="AD227" i="13"/>
  <c r="AA239" i="13"/>
  <c r="AA277" i="13"/>
  <c r="AA292" i="13"/>
  <c r="AD293" i="13"/>
  <c r="AA321" i="13"/>
  <c r="Q50" i="13"/>
  <c r="AL50" i="13" s="1"/>
  <c r="AA49" i="13"/>
  <c r="Q96" i="13"/>
  <c r="AD161" i="13"/>
  <c r="AA165" i="13"/>
  <c r="AA172" i="13"/>
  <c r="AA183" i="13"/>
  <c r="AA240" i="13"/>
  <c r="AA244" i="13"/>
  <c r="AA246" i="13"/>
  <c r="AA248" i="13"/>
  <c r="AA251" i="13"/>
  <c r="AA254" i="13"/>
  <c r="AA255" i="13"/>
  <c r="AD7" i="13"/>
  <c r="Q8" i="13"/>
  <c r="AA8" i="13" s="1"/>
  <c r="S32" i="13"/>
  <c r="S260" i="13" s="1"/>
  <c r="S346" i="13" s="1"/>
  <c r="AA33" i="13"/>
  <c r="AA48" i="13"/>
  <c r="Q79" i="13"/>
  <c r="AA87" i="13"/>
  <c r="AA105" i="13"/>
  <c r="AJ125" i="13"/>
  <c r="AD125" i="13" s="1"/>
  <c r="Q161" i="13"/>
  <c r="AD176" i="13"/>
  <c r="AA196" i="13"/>
  <c r="AA208" i="13"/>
  <c r="AA213" i="13"/>
  <c r="AR244" i="13"/>
  <c r="AT258" i="13"/>
  <c r="AA262" i="13"/>
  <c r="AA279" i="13"/>
  <c r="AA287" i="13"/>
  <c r="AB293" i="13"/>
  <c r="AA293" i="13" s="1"/>
  <c r="R293" i="13" s="1"/>
  <c r="Q293" i="13" s="1"/>
  <c r="AA309" i="13"/>
  <c r="AA310" i="13"/>
  <c r="AA311" i="13"/>
  <c r="AD72" i="13"/>
  <c r="AA110" i="13"/>
  <c r="AD79" i="13"/>
  <c r="AD96" i="13"/>
  <c r="AA31" i="13"/>
  <c r="AR31" i="13"/>
  <c r="AA112" i="13"/>
  <c r="AR112" i="13"/>
  <c r="AR20" i="13"/>
  <c r="AA20" i="13"/>
  <c r="AE260" i="13"/>
  <c r="AD8" i="13"/>
  <c r="AB8" i="13"/>
  <c r="AI32" i="13"/>
  <c r="AI260" i="13" s="1"/>
  <c r="AI346" i="13" s="1"/>
  <c r="AD29" i="13"/>
  <c r="AB29" i="13"/>
  <c r="AD54" i="13"/>
  <c r="AA46" i="13"/>
  <c r="AR46" i="13"/>
  <c r="AD50" i="13"/>
  <c r="AD104" i="13"/>
  <c r="AA232" i="13"/>
  <c r="AR232" i="13"/>
  <c r="AA245" i="13"/>
  <c r="AR245" i="13"/>
  <c r="AD256" i="13"/>
  <c r="AA256" i="13"/>
  <c r="AI324" i="13"/>
  <c r="AD297" i="13"/>
  <c r="AB344" i="13"/>
  <c r="Q110" i="13"/>
  <c r="AB7" i="13"/>
  <c r="AB9" i="13"/>
  <c r="AJ18" i="13"/>
  <c r="AB28" i="13"/>
  <c r="AK260" i="13"/>
  <c r="AK346" i="13" s="1"/>
  <c r="AB41" i="13"/>
  <c r="AB47" i="13"/>
  <c r="AB58" i="13"/>
  <c r="AA58" i="13" s="1"/>
  <c r="AD75" i="13"/>
  <c r="AB82" i="13"/>
  <c r="AJ90" i="13"/>
  <c r="AD90" i="13" s="1"/>
  <c r="AD97" i="13"/>
  <c r="AA98" i="13"/>
  <c r="AA104" i="13" s="1"/>
  <c r="AB120" i="13"/>
  <c r="AB134" i="13"/>
  <c r="AA133" i="13"/>
  <c r="AA140" i="13"/>
  <c r="AR140" i="13"/>
  <c r="AA145" i="13"/>
  <c r="AF202" i="13"/>
  <c r="AF260" i="13" s="1"/>
  <c r="AF346" i="13" s="1"/>
  <c r="AD228" i="13"/>
  <c r="AB228" i="13"/>
  <c r="AA228" i="13" s="1"/>
  <c r="AD344" i="13"/>
  <c r="Q17" i="13"/>
  <c r="AD33" i="13"/>
  <c r="AD48" i="13"/>
  <c r="AD134" i="13"/>
  <c r="AB169" i="13"/>
  <c r="AD185" i="13"/>
  <c r="AB185" i="13"/>
  <c r="AA185" i="13" s="1"/>
  <c r="AA192" i="13"/>
  <c r="AA214" i="13"/>
  <c r="Q118" i="13"/>
  <c r="AA179" i="13"/>
  <c r="AR179" i="13"/>
  <c r="AJ258" i="13"/>
  <c r="AA270" i="13"/>
  <c r="AR270" i="13"/>
  <c r="AB37" i="13"/>
  <c r="AB44" i="13"/>
  <c r="AA44" i="13" s="1"/>
  <c r="Q72" i="13"/>
  <c r="AT346" i="13"/>
  <c r="AB84" i="13"/>
  <c r="AB124" i="13"/>
  <c r="AD138" i="13"/>
  <c r="AB138" i="13"/>
  <c r="Q176" i="13"/>
  <c r="AA227" i="13"/>
  <c r="AR227" i="13"/>
  <c r="AD250" i="13"/>
  <c r="AB250" i="13"/>
  <c r="AR250" i="13" s="1"/>
  <c r="AA257" i="13"/>
  <c r="AD268" i="13"/>
  <c r="AB268" i="13"/>
  <c r="AB23" i="13"/>
  <c r="AA23" i="13" s="1"/>
  <c r="AB24" i="13"/>
  <c r="AR27" i="13"/>
  <c r="AG260" i="13"/>
  <c r="AG346" i="13" s="1"/>
  <c r="AG348" i="13" s="1"/>
  <c r="AB38" i="13"/>
  <c r="AR38" i="13" s="1"/>
  <c r="AD44" i="13"/>
  <c r="AR97" i="13"/>
  <c r="AR104" i="13" s="1"/>
  <c r="AR126" i="13"/>
  <c r="AR134" i="13" s="1"/>
  <c r="AA144" i="13"/>
  <c r="AR144" i="13"/>
  <c r="AR169" i="13"/>
  <c r="AD178" i="13"/>
  <c r="AB178" i="13"/>
  <c r="AA178" i="13" s="1"/>
  <c r="Q199" i="13"/>
  <c r="Q202" i="13" s="1"/>
  <c r="Q223" i="13"/>
  <c r="AA272" i="13"/>
  <c r="Q299" i="13"/>
  <c r="AA299" i="13" s="1"/>
  <c r="AR299" i="13"/>
  <c r="AR344" i="13"/>
  <c r="Q7" i="13"/>
  <c r="AA7" i="13" s="1"/>
  <c r="AB25" i="13"/>
  <c r="AH260" i="13"/>
  <c r="AH346" i="13" s="1"/>
  <c r="AB39" i="13"/>
  <c r="AR39" i="13" s="1"/>
  <c r="AB45" i="13"/>
  <c r="AB55" i="13"/>
  <c r="AB63" i="13"/>
  <c r="AR63" i="13" s="1"/>
  <c r="AB80" i="13"/>
  <c r="AA80" i="13" s="1"/>
  <c r="AB85" i="13"/>
  <c r="AR85" i="13" s="1"/>
  <c r="AA88" i="13"/>
  <c r="AB89" i="13"/>
  <c r="AR89" i="13" s="1"/>
  <c r="Q97" i="13"/>
  <c r="Q104" i="13" s="1"/>
  <c r="AB104" i="13"/>
  <c r="AB111" i="13"/>
  <c r="AJ118" i="13"/>
  <c r="AD118" i="13" s="1"/>
  <c r="Q134" i="13"/>
  <c r="AD143" i="13"/>
  <c r="AB143" i="13"/>
  <c r="AA143" i="13" s="1"/>
  <c r="AD193" i="13"/>
  <c r="AD203" i="13"/>
  <c r="AB203" i="13"/>
  <c r="AA203" i="13" s="1"/>
  <c r="AA211" i="13"/>
  <c r="Q231" i="13"/>
  <c r="AA224" i="13"/>
  <c r="Q258" i="13"/>
  <c r="AD258" i="13"/>
  <c r="AH347" i="13"/>
  <c r="AJ17" i="13"/>
  <c r="AD55" i="13"/>
  <c r="AB119" i="13"/>
  <c r="AA127" i="13"/>
  <c r="AA128" i="13"/>
  <c r="AB135" i="13"/>
  <c r="AJ156" i="13"/>
  <c r="AD156" i="13" s="1"/>
  <c r="AA166" i="13"/>
  <c r="AA169" i="13" s="1"/>
  <c r="AJ193" i="13"/>
  <c r="AA180" i="13"/>
  <c r="AA186" i="13"/>
  <c r="AA187" i="13"/>
  <c r="AB202" i="13"/>
  <c r="AA252" i="13"/>
  <c r="AR184" i="13"/>
  <c r="AR194" i="13"/>
  <c r="AR209" i="13"/>
  <c r="AR226" i="13"/>
  <c r="AB234" i="13"/>
  <c r="AR242" i="13"/>
  <c r="AB247" i="13"/>
  <c r="AB273" i="13"/>
  <c r="AA273" i="13" s="1"/>
  <c r="AD325" i="13"/>
  <c r="AB147" i="13"/>
  <c r="AA147" i="13" s="1"/>
  <c r="AB148" i="13"/>
  <c r="AR148" i="13" s="1"/>
  <c r="AB171" i="13"/>
  <c r="AR171" i="13" s="1"/>
  <c r="AR176" i="13" s="1"/>
  <c r="AV176" i="13"/>
  <c r="AB182" i="13"/>
  <c r="AR182" i="13" s="1"/>
  <c r="AD198" i="13"/>
  <c r="AB207" i="13"/>
  <c r="AR207" i="13" s="1"/>
  <c r="AB235" i="13"/>
  <c r="AR235" i="13" s="1"/>
  <c r="AB281" i="13"/>
  <c r="AA281" i="13" s="1"/>
  <c r="AA303" i="13"/>
  <c r="Q156" i="13"/>
  <c r="AL169" i="13" s="1"/>
  <c r="AD171" i="13"/>
  <c r="AA194" i="13"/>
  <c r="AD196" i="13"/>
  <c r="AD224" i="13"/>
  <c r="AA261" i="13"/>
  <c r="Q268" i="13"/>
  <c r="AA268" i="13" s="1"/>
  <c r="AB297" i="13"/>
  <c r="Q169" i="13"/>
  <c r="AV348" i="13"/>
  <c r="AD266" i="13"/>
  <c r="AR294" i="13"/>
  <c r="AR300" i="13"/>
  <c r="Q325" i="13"/>
  <c r="AB161" i="13"/>
  <c r="AR224" i="13"/>
  <c r="AR324" i="13" l="1"/>
  <c r="AB19" i="13"/>
  <c r="AB50" i="13"/>
  <c r="AJ202" i="13"/>
  <c r="AD202" i="13" s="1"/>
  <c r="AR40" i="13"/>
  <c r="AR231" i="13"/>
  <c r="AA134" i="13"/>
  <c r="AD324" i="13"/>
  <c r="AA146" i="13"/>
  <c r="AA91" i="13"/>
  <c r="AA96" i="13" s="1"/>
  <c r="AR91" i="13"/>
  <c r="AR96" i="13" s="1"/>
  <c r="AB96" i="13"/>
  <c r="AA139" i="13"/>
  <c r="AR308" i="13"/>
  <c r="AA308" i="13"/>
  <c r="R308" i="13" s="1"/>
  <c r="AL134" i="13"/>
  <c r="AR51" i="13"/>
  <c r="AR54" i="13" s="1"/>
  <c r="AA51" i="13"/>
  <c r="AA54" i="13" s="1"/>
  <c r="AB54" i="13"/>
  <c r="AA113" i="13"/>
  <c r="AA137" i="13"/>
  <c r="AA65" i="13"/>
  <c r="AB258" i="13"/>
  <c r="AB231" i="13"/>
  <c r="AA199" i="13"/>
  <c r="AA202" i="13" s="1"/>
  <c r="AL110" i="13"/>
  <c r="AL90" i="13"/>
  <c r="AA75" i="13"/>
  <c r="AA79" i="13" s="1"/>
  <c r="AA233" i="13"/>
  <c r="AB118" i="13"/>
  <c r="AR111" i="13"/>
  <c r="AR118" i="13" s="1"/>
  <c r="AR55" i="13"/>
  <c r="AR72" i="13" s="1"/>
  <c r="AB72" i="13"/>
  <c r="AR138" i="13"/>
  <c r="AA138" i="13"/>
  <c r="AR47" i="13"/>
  <c r="AA47" i="13"/>
  <c r="AA39" i="13"/>
  <c r="AR247" i="13"/>
  <c r="AR258" i="13" s="1"/>
  <c r="AA247" i="13"/>
  <c r="AB176" i="13"/>
  <c r="AA45" i="13"/>
  <c r="AR45" i="13"/>
  <c r="AK347" i="13"/>
  <c r="AR120" i="13"/>
  <c r="AA120" i="13"/>
  <c r="AR41" i="13"/>
  <c r="AA41" i="13"/>
  <c r="AR234" i="13"/>
  <c r="AA234" i="13"/>
  <c r="AB156" i="13"/>
  <c r="AR135" i="13"/>
  <c r="AR156" i="13" s="1"/>
  <c r="AB324" i="13"/>
  <c r="AA124" i="13"/>
  <c r="AR124" i="13"/>
  <c r="AA89" i="13"/>
  <c r="AA111" i="13"/>
  <c r="AA118" i="13" s="1"/>
  <c r="AA84" i="13"/>
  <c r="AR84" i="13"/>
  <c r="AA207" i="13"/>
  <c r="AA223" i="13" s="1"/>
  <c r="AR28" i="13"/>
  <c r="AA28" i="13"/>
  <c r="AE346" i="13"/>
  <c r="AA85" i="13"/>
  <c r="AA55" i="13"/>
  <c r="AR297" i="13"/>
  <c r="Q297" i="13"/>
  <c r="AA297" i="13" s="1"/>
  <c r="AA324" i="13" s="1"/>
  <c r="AL258" i="13"/>
  <c r="AA25" i="13"/>
  <c r="AR25" i="13"/>
  <c r="Q32" i="13"/>
  <c r="AA171" i="13"/>
  <c r="AA176" i="13" s="1"/>
  <c r="AA250" i="13"/>
  <c r="AR19" i="13"/>
  <c r="AA19" i="13"/>
  <c r="AA119" i="13"/>
  <c r="AR119" i="13"/>
  <c r="AB125" i="13"/>
  <c r="AL223" i="13"/>
  <c r="AA135" i="13"/>
  <c r="AL199" i="13"/>
  <c r="AR82" i="13"/>
  <c r="AA82" i="13"/>
  <c r="AA90" i="13" s="1"/>
  <c r="AB18" i="13"/>
  <c r="AD18" i="13"/>
  <c r="AR29" i="13"/>
  <c r="AA29" i="13"/>
  <c r="AA38" i="13"/>
  <c r="AA231" i="13"/>
  <c r="AR203" i="13"/>
  <c r="AR223" i="13" s="1"/>
  <c r="AB223" i="13"/>
  <c r="AR80" i="13"/>
  <c r="AB90" i="13"/>
  <c r="AA182" i="13"/>
  <c r="AA193" i="13" s="1"/>
  <c r="AA24" i="13"/>
  <c r="AR24" i="13"/>
  <c r="AA325" i="13"/>
  <c r="AA344" i="13" s="1"/>
  <c r="Q344" i="13"/>
  <c r="AD17" i="13"/>
  <c r="AB17" i="13"/>
  <c r="AB32" i="13" s="1"/>
  <c r="AB260" i="13" s="1"/>
  <c r="AB346" i="13" s="1"/>
  <c r="AJ32" i="13"/>
  <c r="AB193" i="13"/>
  <c r="AR178" i="13"/>
  <c r="AA148" i="13"/>
  <c r="AA37" i="13"/>
  <c r="AR37" i="13"/>
  <c r="AR50" i="13" s="1"/>
  <c r="AA235" i="13"/>
  <c r="AA63" i="13"/>
  <c r="AA156" i="13" l="1"/>
  <c r="Q308" i="13"/>
  <c r="Q324" i="13" s="1"/>
  <c r="R324" i="13"/>
  <c r="R346" i="13" s="1"/>
  <c r="AA50" i="13"/>
  <c r="AA125" i="13"/>
  <c r="AA258" i="13"/>
  <c r="AG349" i="13"/>
  <c r="H345" i="13"/>
  <c r="AA72" i="13"/>
  <c r="AR193" i="13"/>
  <c r="AR199" i="13" s="1"/>
  <c r="AR202" i="13" s="1"/>
  <c r="AJ260" i="13"/>
  <c r="AD32" i="13"/>
  <c r="AA17" i="13"/>
  <c r="AA32" i="13" s="1"/>
  <c r="AA260" i="13" s="1"/>
  <c r="AA346" i="13" s="1"/>
  <c r="H346" i="13" s="1"/>
  <c r="AR17" i="13"/>
  <c r="AR32" i="13" s="1"/>
  <c r="AR260" i="13" s="1"/>
  <c r="AR346" i="13" s="1"/>
  <c r="AR90" i="13"/>
  <c r="Q260" i="13"/>
  <c r="Q346" i="13" s="1"/>
  <c r="AL32" i="13"/>
  <c r="AA18" i="13"/>
  <c r="AR18" i="13"/>
  <c r="AR125" i="13"/>
  <c r="AJ346" i="13" l="1"/>
  <c r="AD260" i="13"/>
  <c r="AV347" i="13"/>
  <c r="R349" i="13"/>
  <c r="C41" i="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saita</author>
  </authors>
  <commentList>
    <comment ref="E10" authorId="0" shapeId="0" xr:uid="{00000000-0006-0000-0000-000001000000}">
      <text>
        <r>
          <rPr>
            <sz val="14"/>
            <color indexed="81"/>
            <rFont val="MS P ゴシック"/>
            <family val="3"/>
            <charset val="128"/>
          </rPr>
          <t>チーム登録番号を入力すると、右の欄にチーム名が表示されます</t>
        </r>
        <r>
          <rPr>
            <sz val="9"/>
            <color indexed="81"/>
            <rFont val="MS P ゴシック"/>
            <family val="3"/>
            <charset val="128"/>
          </rPr>
          <t xml:space="preserve">
</t>
        </r>
      </text>
    </comment>
  </commentList>
</comments>
</file>

<file path=xl/sharedStrings.xml><?xml version="1.0" encoding="utf-8"?>
<sst xmlns="http://schemas.openxmlformats.org/spreadsheetml/2006/main" count="10954" uniqueCount="5735">
  <si>
    <t>その他</t>
    <rPh sb="2" eb="3">
      <t>タ</t>
    </rPh>
    <phoneticPr fontId="3"/>
  </si>
  <si>
    <t>人</t>
    <rPh sb="0" eb="1">
      <t>ニン</t>
    </rPh>
    <phoneticPr fontId="3"/>
  </si>
  <si>
    <t>許可番号</t>
    <rPh sb="0" eb="2">
      <t>キョカ</t>
    </rPh>
    <rPh sb="2" eb="4">
      <t>バンゴウ</t>
    </rPh>
    <phoneticPr fontId="3"/>
  </si>
  <si>
    <t>【協会使用欄】</t>
    <rPh sb="1" eb="3">
      <t>キョウカイ</t>
    </rPh>
    <rPh sb="3" eb="5">
      <t>シヨウ</t>
    </rPh>
    <rPh sb="5" eb="6">
      <t>ラン</t>
    </rPh>
    <phoneticPr fontId="3"/>
  </si>
  <si>
    <t>携帯電話番号</t>
    <rPh sb="0" eb="2">
      <t>ケイタイ</t>
    </rPh>
    <rPh sb="2" eb="4">
      <t>デンワ</t>
    </rPh>
    <rPh sb="4" eb="6">
      <t>バンゴウ</t>
    </rPh>
    <phoneticPr fontId="3"/>
  </si>
  <si>
    <t>年</t>
    <rPh sb="0" eb="1">
      <t>ネン</t>
    </rPh>
    <phoneticPr fontId="3"/>
  </si>
  <si>
    <t>日</t>
    <rPh sb="0" eb="1">
      <t>ニチ</t>
    </rPh>
    <phoneticPr fontId="3"/>
  </si>
  <si>
    <t>号</t>
    <rPh sb="0" eb="1">
      <t>ゴウ</t>
    </rPh>
    <phoneticPr fontId="3"/>
  </si>
  <si>
    <t>■「利用上の注意」を遵守してください。</t>
    <rPh sb="2" eb="5">
      <t>リヨウジョウ</t>
    </rPh>
    <rPh sb="6" eb="8">
      <t>チュウイ</t>
    </rPh>
    <rPh sb="10" eb="12">
      <t>ジュンシュ</t>
    </rPh>
    <phoneticPr fontId="3"/>
  </si>
  <si>
    <t>e-mailアドレス</t>
    <phoneticPr fontId="3"/>
  </si>
  <si>
    <t>利用責任者氏名</t>
    <rPh sb="0" eb="2">
      <t>リヨウ</t>
    </rPh>
    <rPh sb="2" eb="4">
      <t>セキニン</t>
    </rPh>
    <rPh sb="4" eb="5">
      <t>シャ</t>
    </rPh>
    <rPh sb="5" eb="7">
      <t>シメイ</t>
    </rPh>
    <phoneticPr fontId="3"/>
  </si>
  <si>
    <t>FAX番号</t>
    <rPh sb="3" eb="5">
      <t>バンゴウ</t>
    </rPh>
    <phoneticPr fontId="3"/>
  </si>
  <si>
    <t>利用日時</t>
    <rPh sb="0" eb="2">
      <t>リヨウ</t>
    </rPh>
    <rPh sb="2" eb="4">
      <t>ニチジ</t>
    </rPh>
    <phoneticPr fontId="3"/>
  </si>
  <si>
    <t>～</t>
    <phoneticPr fontId="3"/>
  </si>
  <si>
    <t>利用目的</t>
    <rPh sb="0" eb="2">
      <t>リヨウ</t>
    </rPh>
    <rPh sb="2" eb="4">
      <t>モクテキ</t>
    </rPh>
    <phoneticPr fontId="3"/>
  </si>
  <si>
    <t>利用人数</t>
    <rPh sb="0" eb="2">
      <t>リヨウ</t>
    </rPh>
    <rPh sb="2" eb="4">
      <t>ニンズウ</t>
    </rPh>
    <phoneticPr fontId="3"/>
  </si>
  <si>
    <t xml:space="preserve"> 1．サッカー場</t>
    <rPh sb="7" eb="8">
      <t>ジョウ</t>
    </rPh>
    <phoneticPr fontId="3"/>
  </si>
  <si>
    <t xml:space="preserve"> 4．教室</t>
    <rPh sb="3" eb="5">
      <t>キョウシツ</t>
    </rPh>
    <phoneticPr fontId="3"/>
  </si>
  <si>
    <t>利用について</t>
    <rPh sb="0" eb="2">
      <t>リヨウ</t>
    </rPh>
    <phoneticPr fontId="3"/>
  </si>
  <si>
    <t>※下記ご確認ください</t>
    <rPh sb="1" eb="3">
      <t>カキ</t>
    </rPh>
    <rPh sb="4" eb="6">
      <t>カクニン</t>
    </rPh>
    <phoneticPr fontId="3"/>
  </si>
  <si>
    <t>（公財）埼玉県サッカー協会　事務局長　　　佐藤　勝彦　　　印</t>
    <rPh sb="1" eb="3">
      <t>コウザイ</t>
    </rPh>
    <rPh sb="4" eb="6">
      <t>サイタマ</t>
    </rPh>
    <rPh sb="6" eb="7">
      <t>ケン</t>
    </rPh>
    <rPh sb="11" eb="13">
      <t>キョウカイ</t>
    </rPh>
    <rPh sb="14" eb="16">
      <t>ジム</t>
    </rPh>
    <rPh sb="16" eb="18">
      <t>キョクチョウ</t>
    </rPh>
    <rPh sb="21" eb="23">
      <t>サトウ</t>
    </rPh>
    <rPh sb="24" eb="26">
      <t>カツヒコ</t>
    </rPh>
    <rPh sb="29" eb="30">
      <t>イン</t>
    </rPh>
    <phoneticPr fontId="3"/>
  </si>
  <si>
    <t>許可年月日</t>
    <rPh sb="0" eb="5">
      <t>キョカネンガッピ</t>
    </rPh>
    <phoneticPr fontId="3"/>
  </si>
  <si>
    <t>■利用日の10日前までのキャンセルは無料、それ以降は有料です。（使用規則第7条）</t>
    <rPh sb="1" eb="3">
      <t>リヨウ</t>
    </rPh>
    <rPh sb="3" eb="4">
      <t>ビ</t>
    </rPh>
    <rPh sb="7" eb="9">
      <t>ニチマエ</t>
    </rPh>
    <rPh sb="18" eb="20">
      <t>ムリョウ</t>
    </rPh>
    <rPh sb="23" eb="25">
      <t>イコウ</t>
    </rPh>
    <rPh sb="26" eb="28">
      <t>ユウリョウ</t>
    </rPh>
    <rPh sb="32" eb="34">
      <t>シヨウ</t>
    </rPh>
    <rPh sb="34" eb="36">
      <t>キソク</t>
    </rPh>
    <rPh sb="36" eb="37">
      <t>ダイ</t>
    </rPh>
    <rPh sb="38" eb="39">
      <t>ジョウ</t>
    </rPh>
    <phoneticPr fontId="3"/>
  </si>
  <si>
    <t>チーム登録番号</t>
  </si>
  <si>
    <t>種別</t>
  </si>
  <si>
    <t>種別区分</t>
  </si>
  <si>
    <t>チーム名＿漢字</t>
  </si>
  <si>
    <t>チーム名＿カナ</t>
  </si>
  <si>
    <t>チーム名＿英字</t>
  </si>
  <si>
    <t>第2種</t>
  </si>
  <si>
    <t>クラブユース連盟</t>
  </si>
  <si>
    <t>浦和レッドダイヤモンズユース</t>
  </si>
  <si>
    <t>ウラワレッドダイヤモンズユース</t>
  </si>
  <si>
    <t>urawa red diamonds youth</t>
  </si>
  <si>
    <t>第1種</t>
  </si>
  <si>
    <t>社会人連盟</t>
  </si>
  <si>
    <t>江南ブロッコリーズサッカーアカデミー</t>
  </si>
  <si>
    <t>コウナンブロッコリーズサッカーアカデミー</t>
  </si>
  <si>
    <t>Konan Broccolies Soccer Academy</t>
  </si>
  <si>
    <t>所沢市役所サッカー部</t>
  </si>
  <si>
    <t>トコロザワシヤクショサッカーブ</t>
  </si>
  <si>
    <t>tokorozawa city office soccer club</t>
  </si>
  <si>
    <t>ＰＡＣＫＥＲＳ（Ｌｏｖｅ　＆　Ｐｅａｃｅ）</t>
  </si>
  <si>
    <t>パッカーズ　（ラブ　アンド　ピース）</t>
  </si>
  <si>
    <t>PACKERS(Love&amp;Peace)</t>
  </si>
  <si>
    <t>大里ＦＣ</t>
  </si>
  <si>
    <t>オオサトエフシー</t>
  </si>
  <si>
    <t>Ohsato FC</t>
  </si>
  <si>
    <t>Ａｚｕｒｅ―Ｌ川越</t>
  </si>
  <si>
    <t>アズワイルカワゴエ</t>
  </si>
  <si>
    <t>Azure-Lkawagoe</t>
  </si>
  <si>
    <t>ＦＣ．Ｇａｉｎｅｒ</t>
  </si>
  <si>
    <t>エフシーゲイナー</t>
  </si>
  <si>
    <t>FC.Gainer</t>
  </si>
  <si>
    <t>文理輪転印刷（株）サッカー部</t>
  </si>
  <si>
    <t>ブンリリンテンインサツ（カブ）サッカーブ</t>
  </si>
  <si>
    <t>BUNRI FC</t>
  </si>
  <si>
    <t>ほのぼのクラブ</t>
  </si>
  <si>
    <t>ホノボノクラブ</t>
  </si>
  <si>
    <t>HONOBONO CLUB</t>
  </si>
  <si>
    <t>フットボールクラブサンシン</t>
  </si>
  <si>
    <t>FC SANSHIN</t>
  </si>
  <si>
    <t>川越市役所サッカー部</t>
  </si>
  <si>
    <t>カワゴエシヤクショサッカーブ</t>
  </si>
  <si>
    <t>kawagoe city FC</t>
  </si>
  <si>
    <t>ＪＵＳＴＩＣＥ</t>
  </si>
  <si>
    <t>ジャスティス</t>
  </si>
  <si>
    <t>JUSTICE</t>
  </si>
  <si>
    <t>ＪＸ</t>
  </si>
  <si>
    <t>ジェイエックス</t>
  </si>
  <si>
    <t>JX</t>
  </si>
  <si>
    <t>杉戸クラブ</t>
  </si>
  <si>
    <t>スギトクラブ</t>
  </si>
  <si>
    <t>SUGITO CLUB</t>
  </si>
  <si>
    <t>西宮下ＦＣ</t>
  </si>
  <si>
    <t>ニシミヤシタエフシー</t>
  </si>
  <si>
    <t>nisimiyasitaFC</t>
  </si>
  <si>
    <t>寄居サッカークラブ</t>
  </si>
  <si>
    <t>ヨリイサッカークラブ</t>
  </si>
  <si>
    <t>yoriisoccerclub1970</t>
  </si>
  <si>
    <t>浦和キッカーズ</t>
  </si>
  <si>
    <t>ウラワキッカーズ</t>
  </si>
  <si>
    <t>Urawakickers</t>
  </si>
  <si>
    <t>さいたま市役所サッカー部</t>
  </si>
  <si>
    <t>サイタマシヤクショサッカーブ</t>
  </si>
  <si>
    <t>saitamasiyakusyosakkabu</t>
  </si>
  <si>
    <t>本太クラブ</t>
  </si>
  <si>
    <t>モトブトクラブ</t>
  </si>
  <si>
    <t>motobuto club</t>
  </si>
  <si>
    <t>川口市役所文化体育会サッカー部</t>
  </si>
  <si>
    <t>カワグチシヤクショブンカタイイクカイサッカーブ</t>
  </si>
  <si>
    <t>Kawaguchi City government office football club</t>
  </si>
  <si>
    <t>Ｓ・Ｆ・Ｃ</t>
  </si>
  <si>
    <t>エスエフシー</t>
  </si>
  <si>
    <t>SFC</t>
  </si>
  <si>
    <t>ウォーリーズサッカークラブ</t>
  </si>
  <si>
    <t>worriez.s.c</t>
  </si>
  <si>
    <t>草加フットボールクラブ</t>
  </si>
  <si>
    <t>ソウカフットボールクラブ</t>
  </si>
  <si>
    <t>SOKA FOOTBALL CLUB</t>
  </si>
  <si>
    <t>フェニックスフットボールクラブ</t>
  </si>
  <si>
    <t>phoenixfootballclub</t>
  </si>
  <si>
    <t>越谷フットボールクラブ</t>
  </si>
  <si>
    <t>コシガヤフットボールクラブ</t>
  </si>
  <si>
    <t>koshigayafootboalclub</t>
  </si>
  <si>
    <t>Ｒ・Ｖ・Ｓ　ＦＣ</t>
  </si>
  <si>
    <t>アールブイエスフットボールクラブ</t>
  </si>
  <si>
    <t>RVSFC</t>
  </si>
  <si>
    <t>ＦＣ．Ｂｉｃｈｏ</t>
  </si>
  <si>
    <t>エフシービッチョ</t>
  </si>
  <si>
    <t>FC.Bicho</t>
  </si>
  <si>
    <t>さいたまサッカークラブ</t>
  </si>
  <si>
    <t>サイタマサッカークラブ</t>
  </si>
  <si>
    <t>Saitama soccer club</t>
  </si>
  <si>
    <t>川口サッカークラブ</t>
  </si>
  <si>
    <t>カワグチサッカークラブ</t>
  </si>
  <si>
    <t>KAWAGUCHI_SC</t>
  </si>
  <si>
    <t>西上尾サッカークラブ</t>
  </si>
  <si>
    <t>ニシアゲオサッカークラブ</t>
  </si>
  <si>
    <t>nishiageo soccer club</t>
  </si>
  <si>
    <t>浦和ＵＦＣ</t>
  </si>
  <si>
    <t>ウラワユーエフシー</t>
  </si>
  <si>
    <t>URAWA UFC</t>
  </si>
  <si>
    <t>大原リカーズ</t>
  </si>
  <si>
    <t>オオハラリカーズ</t>
  </si>
  <si>
    <t>oohara liqers</t>
  </si>
  <si>
    <t>武南ＦＣ</t>
  </si>
  <si>
    <t>ブナンＦＣ</t>
  </si>
  <si>
    <t>FC BUNAN</t>
  </si>
  <si>
    <t>与野ＬＩＢＥＲＴＹ</t>
  </si>
  <si>
    <t>ヨノリバティー</t>
  </si>
  <si>
    <t>YONO-LIBERTY</t>
  </si>
  <si>
    <t>アヴェントゥーラ川口</t>
  </si>
  <si>
    <t>アヴェントゥーラカワグチ</t>
  </si>
  <si>
    <t>aventura kawaguchi</t>
  </si>
  <si>
    <t>日高クラブ</t>
  </si>
  <si>
    <t>ヒダカクラブ</t>
  </si>
  <si>
    <t>HidakaClub</t>
  </si>
  <si>
    <t>ＦＣ．ＤＮＰ</t>
  </si>
  <si>
    <t>エフシーディーエヌピー</t>
  </si>
  <si>
    <t>FC.DNP</t>
  </si>
  <si>
    <t>与野蹴魂会</t>
  </si>
  <si>
    <t>ヨノシュウコンカイ</t>
  </si>
  <si>
    <t>yonosyukonnkai</t>
  </si>
  <si>
    <t>都幾クラブ</t>
  </si>
  <si>
    <t>トキクラブ</t>
  </si>
  <si>
    <t>TOKICLUB</t>
  </si>
  <si>
    <t>新明クラブ</t>
  </si>
  <si>
    <t>シンメイクラブ</t>
  </si>
  <si>
    <t>shinmei club</t>
  </si>
  <si>
    <t>東松山南サンバサッカークラブ</t>
  </si>
  <si>
    <t>ヒガシマツヤマミナミサンバサッカークラブ</t>
  </si>
  <si>
    <t>ＡＣアルマレッザ入間</t>
  </si>
  <si>
    <t>エーシーアルマレッザイルマ</t>
  </si>
  <si>
    <t>AC Almaleza Iruma</t>
  </si>
  <si>
    <t>越生サッカークラブ</t>
  </si>
  <si>
    <t>オゴセサッカークラブ</t>
  </si>
  <si>
    <t>ogose soccer club</t>
  </si>
  <si>
    <t>滑川クラブ</t>
  </si>
  <si>
    <t>ナメガワクラブ</t>
  </si>
  <si>
    <t>namegawakurabu</t>
  </si>
  <si>
    <t>ＦＣ飯能</t>
  </si>
  <si>
    <t>エフシーハンノウ</t>
  </si>
  <si>
    <t>航空自衛隊入間基地サッカー部</t>
  </si>
  <si>
    <t>コウクウジエイタイイルマキチサッカーブ</t>
  </si>
  <si>
    <t>JASDF IRUMA FC</t>
  </si>
  <si>
    <t>ＦＣ３ＤＥＰ</t>
  </si>
  <si>
    <t>エフシーサンデポ</t>
  </si>
  <si>
    <t>FC3DEP</t>
  </si>
  <si>
    <t>狭山市役所サッカー部</t>
  </si>
  <si>
    <t>サヤマシヤクショサッカーブ</t>
  </si>
  <si>
    <t>sayamasiyakusyosoccerbu</t>
  </si>
  <si>
    <t>狭山ラトルズサッカークラブ</t>
  </si>
  <si>
    <t>サヤマラトルズサッカークラブ</t>
  </si>
  <si>
    <t>sayama rattles sc</t>
  </si>
  <si>
    <t>下忍クラブ</t>
  </si>
  <si>
    <t>シモオシクラブ</t>
  </si>
  <si>
    <t>shimooshiclub</t>
  </si>
  <si>
    <t>鴻巣フットボールクラブ</t>
  </si>
  <si>
    <t>コウノスフットボールクラブ</t>
  </si>
  <si>
    <t>KOUNOSU FC</t>
  </si>
  <si>
    <t>大宮ＫＳ　ＵＮＩＴＥＤ　ＳＣ</t>
  </si>
  <si>
    <t>オオミヤケイエスユナイテッドエスシー</t>
  </si>
  <si>
    <t>OMIYA KS UNITED SC</t>
  </si>
  <si>
    <t>大学連盟</t>
  </si>
  <si>
    <t>獨協大学體育會サッカー部</t>
  </si>
  <si>
    <t>ドッキョウダイガクタイイクカイサッカーブ</t>
  </si>
  <si>
    <t>Dokkyo Univ. Football Club</t>
  </si>
  <si>
    <t>日本工業大学体育会サッカー部</t>
  </si>
  <si>
    <t>ニッポンコウギョウダイガクタイイクカイサッカーブ</t>
  </si>
  <si>
    <t>nipponkougyoudaigakutaikukaisakkabu</t>
  </si>
  <si>
    <t>埼玉工業大学体育会サッカー部</t>
  </si>
  <si>
    <t>サイタマコウギョウダイガクタイイクカイサッカーブ</t>
  </si>
  <si>
    <t>SAIKO FOOTBALL CLUB</t>
  </si>
  <si>
    <t>熊谷市役所サッカー部</t>
  </si>
  <si>
    <t>クマガヤシヤクショサッカーブ</t>
  </si>
  <si>
    <t>KUMAGAYA FC</t>
  </si>
  <si>
    <t>熊谷ＦＣフォルテシモ</t>
  </si>
  <si>
    <t>クマガヤフットボールクラブフォルテシモ</t>
  </si>
  <si>
    <t>kumagaya FC fortissimo</t>
  </si>
  <si>
    <t>深谷クラブ</t>
  </si>
  <si>
    <t>フカヤクラブ</t>
  </si>
  <si>
    <t>fukayaclub</t>
  </si>
  <si>
    <t>Ｂ．Ｇ毛呂山</t>
  </si>
  <si>
    <t>ビージーモロヤマ</t>
  </si>
  <si>
    <t>B.G MOROYAMA</t>
  </si>
  <si>
    <t>J1</t>
  </si>
  <si>
    <t>浦和レッドダイヤモンズ</t>
  </si>
  <si>
    <t>ウラワレッドダイヤモンズ</t>
  </si>
  <si>
    <t>J2</t>
  </si>
  <si>
    <t>大宮アルディージャ</t>
  </si>
  <si>
    <t>オオミヤアルディージャ</t>
  </si>
  <si>
    <t>高体連</t>
  </si>
  <si>
    <t>埼玉県立熊谷高等学校サッカー部</t>
  </si>
  <si>
    <t>サイタマケンリツクマガヤコウトウガッコウサッカーブ</t>
  </si>
  <si>
    <t>KUMAGAYA HIGH SCHOOL FC</t>
  </si>
  <si>
    <t>埼玉県立熊谷西高等学校</t>
  </si>
  <si>
    <t>サイタマケンリツクマガヤニシコウトウガッコウ</t>
  </si>
  <si>
    <t>kumagayanishi</t>
  </si>
  <si>
    <t>埼玉県立熊谷商業高等学校サッカー部</t>
  </si>
  <si>
    <t>サイタマケンリツクマガヤショウギョウコウトウガッコウサッカーブ</t>
  </si>
  <si>
    <t>saitamakennritukoutougakkousakka-bu</t>
  </si>
  <si>
    <t>埼玉県立熊谷工業高等学校</t>
  </si>
  <si>
    <t>サイタマケンリツクマガヤコウギョウコウトウガッコウ</t>
  </si>
  <si>
    <t>saitamakenritukumagayakougyoukoukou</t>
  </si>
  <si>
    <t>熊谷農業高校</t>
  </si>
  <si>
    <t>クマガヤノウギョウコウコウ</t>
  </si>
  <si>
    <t>埼玉県立進修館高等学校サッカー部</t>
  </si>
  <si>
    <t>サイタマケンリツシンシュウカンコウトウガッコウサッカーブ</t>
  </si>
  <si>
    <t>SHINSYUKAN FOOTBALL CLUB</t>
  </si>
  <si>
    <t>埼玉県立鴻巣高等学校サッカー部</t>
  </si>
  <si>
    <t>サイタマケンリツコウノスコウトウガッコウサッカーブ</t>
  </si>
  <si>
    <t>saitama prefectural kounosu highschool</t>
  </si>
  <si>
    <t>埼玉県立深谷高等学校サッカー部</t>
  </si>
  <si>
    <t>サイタマケンリツフカヤコウトウガッコウサッカーブ</t>
  </si>
  <si>
    <t>saitamakenritsufukayakoutougakkou</t>
  </si>
  <si>
    <t>埼玉県立深谷第一高等学校サッカー部</t>
  </si>
  <si>
    <t>サイタマケンリツフカヤダイイチコウトウガッコウサッカーブ</t>
  </si>
  <si>
    <t>saitamakenritsufukayadaiichikoutougakkousakka-bu</t>
  </si>
  <si>
    <t>埼玉県立深谷商業高等学校</t>
  </si>
  <si>
    <t>サイタマケンリツフカヤショウギョウコウトウガッコウ</t>
  </si>
  <si>
    <t>fukasho</t>
  </si>
  <si>
    <t>正智深谷高等学校</t>
  </si>
  <si>
    <t>ショウチフカヤコウトウガッコウ</t>
  </si>
  <si>
    <t>Shochi Fukaya</t>
  </si>
  <si>
    <t>埼玉県立本庄高等学校サッカー部</t>
  </si>
  <si>
    <t>サイタマケンリツホンジョウコウトウガッコウサッカーブ</t>
  </si>
  <si>
    <t>saitamakenrituhonjokoutougakkousakka-bu</t>
  </si>
  <si>
    <t>本庄東高等学校</t>
  </si>
  <si>
    <t>ホンジョウヒガシコウトウガッコウ</t>
  </si>
  <si>
    <t>HONJO HIGASHI HIGH SCHOOL</t>
  </si>
  <si>
    <t>早稲田大学本庄高等学院</t>
  </si>
  <si>
    <t>ワセダダイガクホンジョウコウトウガクイン</t>
  </si>
  <si>
    <t>Waseda University Honjo Senior High School</t>
  </si>
  <si>
    <t>秩父高等学校サッカー部</t>
  </si>
  <si>
    <t>チチブコウトウガッコウサッカーブ</t>
  </si>
  <si>
    <t>chichibukoutougakkousakkabu</t>
  </si>
  <si>
    <t>秩父農工科学高等学校サッカー部</t>
  </si>
  <si>
    <t>チチブノウコウカガクコウトウガッコウサッカーブ</t>
  </si>
  <si>
    <t>chichibunokosakka-bu</t>
  </si>
  <si>
    <t>埼玉県立児玉高等学校サッカー部</t>
  </si>
  <si>
    <t>サイタマケンリツコダマコウトウガッコウサッカーブ</t>
  </si>
  <si>
    <t>saitamakenritukodamakoutougakkou</t>
  </si>
  <si>
    <t>埼玉県立児玉白楊高等学校</t>
  </si>
  <si>
    <t>サイタマケンリツコダマハクヨウコウトウガッコウ</t>
  </si>
  <si>
    <t>埼玉県立寄居城北高等学校</t>
  </si>
  <si>
    <t>サイタマケンリツヨリイジョウホクコウトウガッコウ</t>
  </si>
  <si>
    <t>saitamakenrituyoriijouhokukoukou</t>
  </si>
  <si>
    <t>埼玉県立妻沼高等学校サッカー部</t>
  </si>
  <si>
    <t>サイタマケンリツメヌマコウトウガッコウサッカーブ</t>
  </si>
  <si>
    <t>saitamakennritsumenumakuotougakkou</t>
  </si>
  <si>
    <t>本庄第一高等学校サッカー部</t>
  </si>
  <si>
    <t>ホンジョウダイイチコウトウガッコウサッカーブ</t>
  </si>
  <si>
    <t>honjo daiichi high school</t>
  </si>
  <si>
    <t>埼玉県立春日部高等学校サッカー部</t>
  </si>
  <si>
    <t>サイタマケンリツカスカベコウトウガッコウサッカーブ</t>
  </si>
  <si>
    <t>埼玉県立春日部東高等学校</t>
  </si>
  <si>
    <t>サイタマケンリツカスカベヒガシコウトウガッコウ</t>
  </si>
  <si>
    <t>Saitamakenritsu Kasukabe Higashi High School</t>
  </si>
  <si>
    <t>埼玉県立春日部工業高等学校</t>
  </si>
  <si>
    <t>サイタマケンリツカスカベコウギョウコウトウガッコウ</t>
  </si>
  <si>
    <t>saitamakennritukasukabekougyoukoutougakkou</t>
  </si>
  <si>
    <t>春日部共栄高等学校</t>
  </si>
  <si>
    <t>カスカベキョウエイコウトウガッコウ</t>
  </si>
  <si>
    <t>kasukabekyoeikoutougakkou</t>
  </si>
  <si>
    <t>埼玉県立岩槻高等学校サッカー部</t>
  </si>
  <si>
    <t>サイタマケンリツイワツキコウトウガッコウサッカーブ</t>
  </si>
  <si>
    <t>saitamakennrituiwatsukikoutougaltukousoccerbu</t>
  </si>
  <si>
    <t>saitamakenritsu iwatsuki hokuryo high school FC</t>
  </si>
  <si>
    <t>埼玉県立岩槻商業高等学校</t>
  </si>
  <si>
    <t>サイタマケンリツイワツキショウギョウコウトウガッコウ</t>
  </si>
  <si>
    <t>iwasho F.c</t>
  </si>
  <si>
    <t>開智高等学校</t>
  </si>
  <si>
    <t>カイチコウトウガッコウ</t>
  </si>
  <si>
    <t>kaichi high school</t>
  </si>
  <si>
    <t>埼玉県立草加高等学校サッカー部</t>
  </si>
  <si>
    <t>サイタマケンリツソウカコウトウガッコウサッカーブ</t>
  </si>
  <si>
    <t>埼玉県立草加南高等学校サッカー部</t>
  </si>
  <si>
    <t>サイタマケンリツソウカミナミコウトウガッコウサッカーブ</t>
  </si>
  <si>
    <t>Soka Minami high school</t>
  </si>
  <si>
    <t>埼玉県立草加東高等学校サッカー部</t>
  </si>
  <si>
    <t>サイタマケンリツソウカヒガシコウトウガッコウサッカーブ</t>
  </si>
  <si>
    <t>saitamakenritusokahigashikoutougakkousakka-bu</t>
  </si>
  <si>
    <t>埼玉県立草加西高等学校</t>
  </si>
  <si>
    <t>サイタマケンリツソウカニシコウトウガッコウ</t>
  </si>
  <si>
    <t>sokanishi</t>
  </si>
  <si>
    <t>埼玉県立越ヶ谷高等学校</t>
  </si>
  <si>
    <t>サイタマケンリツコシガヤコウトウガッコウ</t>
  </si>
  <si>
    <t>Koshigaya High-School Soccer Club</t>
  </si>
  <si>
    <t>埼玉県立越谷北高等学校</t>
  </si>
  <si>
    <t>サイタマケンリツコシガヤキタコウトウガッコウ</t>
  </si>
  <si>
    <t>Koshigaya Kita</t>
  </si>
  <si>
    <t>埼玉県立越谷東高等学校</t>
  </si>
  <si>
    <t>サイタマケンリツコシガヤヒガシコウトウガッコウ</t>
  </si>
  <si>
    <t>saitamakennritsukoshigayahigashikoutougakkou</t>
  </si>
  <si>
    <t>埼玉県立越谷南高等学校サッカー部</t>
  </si>
  <si>
    <t>サイタマケンリツコシガヤミナミコウトウガッコウサッカーブ</t>
  </si>
  <si>
    <t>Saitama Prefectural Koshigaya-minami High School Football Club</t>
  </si>
  <si>
    <t>埼玉県立越谷西高等学校</t>
  </si>
  <si>
    <t>サイタマケンリツコシガヤニシコウトウガッコウ</t>
  </si>
  <si>
    <t>saitamakenritukosigayanisikoutougakkou</t>
  </si>
  <si>
    <t>越谷総合技術高等学校サッカー部</t>
  </si>
  <si>
    <t>コシガヤソウゴウギジュツコウトウガッコウサッカーブ</t>
  </si>
  <si>
    <t>koshigayasougougijyutukoutougakkousakka-bu</t>
  </si>
  <si>
    <t>獨協埼玉高等学校サッカー部</t>
  </si>
  <si>
    <t>ドッキョウサイタマコウトウガッコウサッカーブ</t>
  </si>
  <si>
    <t>dokkyo-saitama high school</t>
  </si>
  <si>
    <t>埼玉県立八潮高等学校</t>
  </si>
  <si>
    <t>サイタマケンリツヤシオコウトウガッコウ</t>
  </si>
  <si>
    <t>saitamakenritsuyashiokoutougakkou</t>
  </si>
  <si>
    <t>埼玉県立八潮南高等学校</t>
  </si>
  <si>
    <t>サイタマケンリツヤシオミナミコウトウガッコウ</t>
  </si>
  <si>
    <t>yashiominami</t>
  </si>
  <si>
    <t>埼玉県立三郷高等学校</t>
  </si>
  <si>
    <t>サイタマケンリツミサトコウトウガッコウ</t>
  </si>
  <si>
    <t>saitamakenritumisatokoutougakkou</t>
  </si>
  <si>
    <t>埼玉県立三郷北高等学校サッカー部</t>
  </si>
  <si>
    <t>サイタマケンリツミサトキタコウトウガッコウサッカーブ</t>
  </si>
  <si>
    <t>SAITAMAKENRITUMISATOKITAKOUTOUGAKOUSAKA-BU</t>
  </si>
  <si>
    <t>埼玉県立三郷工業技術高等学校</t>
  </si>
  <si>
    <t>サイタマケンリツミサトコウギョウギジュツコウトウガッコウ</t>
  </si>
  <si>
    <t>saitamakennritumisatokougyougizyutukoutougakkou</t>
  </si>
  <si>
    <t>埼玉県立羽生実業高等学校</t>
  </si>
  <si>
    <t>ハニュウジツギョウコウトウガッコウ</t>
  </si>
  <si>
    <t>hanyuujitsugyoukoutougakkou</t>
  </si>
  <si>
    <t>羽生第一高等学校</t>
  </si>
  <si>
    <t>ハニュウダイイチコウトウガッコウ</t>
  </si>
  <si>
    <t>hanyuudaiitikoutougakkou</t>
  </si>
  <si>
    <t>埼玉県立久喜工業高等学校</t>
  </si>
  <si>
    <t>サイタマケンリツクキコウギョウコウトウガッコウ</t>
  </si>
  <si>
    <t>saitamakenritukukikougyoukoutougakkou</t>
  </si>
  <si>
    <t>埼玉県立久喜北陽高等学校</t>
  </si>
  <si>
    <t>サイタマケンリツクキホクヨウコウトウガッコウ</t>
  </si>
  <si>
    <t>SAITAMAKENRITSU KUKIHOKUYO KOUTOUGAKKOU</t>
  </si>
  <si>
    <t>埼玉県立不動岡高等学校サッカー部</t>
  </si>
  <si>
    <t>サイタマケンリツフドウオカコウトウガッコウサッカーブ</t>
  </si>
  <si>
    <t>fudooka soccer</t>
  </si>
  <si>
    <t>花咲徳栄高等学校</t>
  </si>
  <si>
    <t>ハナサキトクハルコウトウガッコウ</t>
  </si>
  <si>
    <t>hanasakitokuharukoutougakkou</t>
  </si>
  <si>
    <t>埼玉県立蓮田松韻高等学校サッカー部</t>
  </si>
  <si>
    <t>サイタマケンリツハスダショウインコウトウガッコウサッカーブ</t>
  </si>
  <si>
    <t>saitamakennrituhasudashoinkoutougakkou</t>
  </si>
  <si>
    <t>埼玉県立幸手桜高等学校サッカー部</t>
  </si>
  <si>
    <t>サイタマケンリツサッテサクラコウトウガッコウサッカーブ</t>
  </si>
  <si>
    <t>saitamakenritsusattesakurakoutougakkousoccerbu</t>
  </si>
  <si>
    <t>埼玉県立杉戸高等学校サッカー部</t>
  </si>
  <si>
    <t>サイタマケンリツスギトコウトウガッコウサッカーブ</t>
  </si>
  <si>
    <t>saitamakenritusugitokoutougatukousatuka-bu</t>
  </si>
  <si>
    <t>昌平高等学校</t>
  </si>
  <si>
    <t>ショウヘイコウトウガッコウ</t>
  </si>
  <si>
    <t>shoheihighschool</t>
  </si>
  <si>
    <t>埼玉県立松伏高校サッカー部</t>
  </si>
  <si>
    <t>サイタマケンリツマツブシコウコウサッカーブ</t>
  </si>
  <si>
    <t>saitamakenritumatubushikoukousatuka-bu</t>
  </si>
  <si>
    <t>埼玉県立鷲宮高等学校サッカー部</t>
  </si>
  <si>
    <t>サイタマケンリツワシノミヤコウトウガッコウサッカーブ</t>
  </si>
  <si>
    <t>saitamakenrituwasinomiyakoutougakkousakka-bu</t>
  </si>
  <si>
    <t>埼玉県立白岡高等学校サッカー部</t>
  </si>
  <si>
    <t>サイタマケンリツシラオカコウトウガッコウサッカーブ</t>
  </si>
  <si>
    <t>shiraoka high school</t>
  </si>
  <si>
    <t>埼玉県立宮代高等学校</t>
  </si>
  <si>
    <t>サイタマケンリツミヤシロコウトウガッコウ</t>
  </si>
  <si>
    <t>saitamakenritumiyashirokoutougakkou</t>
  </si>
  <si>
    <t>埼玉県立浦和高等学校サッカー部</t>
  </si>
  <si>
    <t>サイタマケンリツウラワコウトウガッコウサッカーブ</t>
  </si>
  <si>
    <t>saitamakenritu urawa highschool football club</t>
  </si>
  <si>
    <t>浦和西高等学校サッカー部</t>
  </si>
  <si>
    <t>ウラワニシコウトウガッコウサッカーブ</t>
  </si>
  <si>
    <t>URAWA NISHI HIGH SCHOOL FC</t>
  </si>
  <si>
    <t>埼玉県立浦和北高等学校サッカー部</t>
  </si>
  <si>
    <t>サイタマケンリツウラワキタコウトウガッコウサッカーブ</t>
  </si>
  <si>
    <t>saitamakennrituurawakitakoutougakkousakkabu</t>
  </si>
  <si>
    <t>埼玉県立浦和東高等学校サッカー部</t>
  </si>
  <si>
    <t>サイタマケンリツウラワヒガシコウトウガッコウサッカーブ</t>
  </si>
  <si>
    <t>SAITAMA URAWA HIGASHI HIGH SCHOOL</t>
  </si>
  <si>
    <t>埼玉県立浦和工業高等学校サッカー部</t>
  </si>
  <si>
    <t>サイタマケンリツウラワコウギョウコウトウガッコウサッカーブ</t>
  </si>
  <si>
    <t>saitamakennritsuurawakougyoukoutougakkousakka-bu</t>
  </si>
  <si>
    <t>さいたま市立浦和高等学校</t>
  </si>
  <si>
    <t>サイタマシリツウラワコウトウガッコウ</t>
  </si>
  <si>
    <t>saitama municipal urawa high school</t>
  </si>
  <si>
    <t>埼玉県さいたま市立浦和南高等学校サッカー部</t>
  </si>
  <si>
    <t>サイタマケンサイタマシリツウラワミナミコウトウガッコウサッカーブ</t>
  </si>
  <si>
    <t>Urawa Minami High School</t>
  </si>
  <si>
    <t>叡明高等学校</t>
  </si>
  <si>
    <t>エイメイコウトウガッコウ</t>
  </si>
  <si>
    <t>eimei</t>
  </si>
  <si>
    <t>浦和実業学園高等学校</t>
  </si>
  <si>
    <t>ウラワジツギョウガクエンコウトウガッコウ</t>
  </si>
  <si>
    <t>urawajitsugyogakuenhighschool</t>
  </si>
  <si>
    <t>浦和学院高等学校</t>
  </si>
  <si>
    <t>ウラワガクインコウトウガッコウ</t>
  </si>
  <si>
    <t>urawagakuin high school</t>
  </si>
  <si>
    <t>埼玉県立川口高等学校</t>
  </si>
  <si>
    <t>サイタマケンリツカワグチコウトウガッコウ</t>
  </si>
  <si>
    <t>saitamakenritukawaguchikoutougakkou</t>
  </si>
  <si>
    <t>埼玉県立川口北高等学校</t>
  </si>
  <si>
    <t>サイタマケンリツカワグチキタコウトウガッコウ</t>
  </si>
  <si>
    <t>saitamakenritukawagutikitakoutougakkou</t>
  </si>
  <si>
    <t>埼玉県立川口東高等学校</t>
  </si>
  <si>
    <t>サイタマケンリツカワグチヒガシコウトウガッコウ</t>
  </si>
  <si>
    <t>saitamakenritukawaguchihigashikoutougakkou</t>
  </si>
  <si>
    <t>埼玉県立川口青陵高等学校サッカー部</t>
  </si>
  <si>
    <t>サイタマケンリツカワグチセイリョウコウトウガッコウサッカーブ</t>
  </si>
  <si>
    <t>saitamakenritukawagutiseiryoukoukousakka-bu</t>
  </si>
  <si>
    <t>埼玉県立川口工業高等学校サッカー部</t>
  </si>
  <si>
    <t>サイタマケンリツカワグチコウギョウコウトウガッコウサッカーブ</t>
  </si>
  <si>
    <t>KAWAGUCHI TECHNICAL HIGH SCHOOL SOCCER CLUB</t>
  </si>
  <si>
    <t>埼玉県立鳩ケ谷高等学校</t>
  </si>
  <si>
    <t>サイタマケンリツハトガヤコウトウガッコウ</t>
  </si>
  <si>
    <t>SaitamakenrituHatogayakoutougakkou</t>
  </si>
  <si>
    <t>埼玉県立蕨高等学校</t>
  </si>
  <si>
    <t>サイタマケンリツワラビコウトウガッコウ</t>
  </si>
  <si>
    <t>saitamakennrituwarabikoutougakkou</t>
  </si>
  <si>
    <t>埼玉県立南稜高等学校</t>
  </si>
  <si>
    <t>サイタマケンリツナンリョウコウトウガッコウ</t>
  </si>
  <si>
    <t>saitamakenritsu nanryou koutougakkou</t>
  </si>
  <si>
    <t>埼玉県立与野高等学校サッカー部</t>
  </si>
  <si>
    <t>サイタマケンリツヨノコウトウガッコウサッカーブ</t>
  </si>
  <si>
    <t>saitamakennrituyonokoutougakkou</t>
  </si>
  <si>
    <t>埼玉県立いずみ高等学校</t>
  </si>
  <si>
    <t>サイタマケンリツイズミコウトウガッコウ</t>
  </si>
  <si>
    <t>saitamakenritu izumikoutougakkou</t>
  </si>
  <si>
    <t>大宮高校サッカー部</t>
  </si>
  <si>
    <t>オオミヤコウコウサッカーブ</t>
  </si>
  <si>
    <t>oomiyakoukousakka-bu</t>
  </si>
  <si>
    <t>埼玉県立大宮武蔵野高等学校</t>
  </si>
  <si>
    <t>サイタマケンリツオオミヤムサシノコウトウガッコウ</t>
  </si>
  <si>
    <t>Saitamakennritu Omiyamusasino Hight School</t>
  </si>
  <si>
    <t>埼玉県立大宮東高等学校</t>
  </si>
  <si>
    <t>サイタマケンリツオオミヤヒガシコウトウガッコウ</t>
  </si>
  <si>
    <t>ohmiyahigashi</t>
  </si>
  <si>
    <t>埼玉県立大宮南高等学校</t>
  </si>
  <si>
    <t>サイタマケンリツオオミヤミナミコウトウガッコウ</t>
  </si>
  <si>
    <t>埼玉県立大宮光陵高等学校</t>
  </si>
  <si>
    <t>サイタマケンリツオオミヤコウリョウコウトウガッコウ</t>
  </si>
  <si>
    <t>saitamakenrituoomiyakouryoukoutougakkou</t>
  </si>
  <si>
    <t>埼玉県立大宮工業高等学校</t>
  </si>
  <si>
    <t>サイタマケンリツオオミヤコウギョウコウトウガッコウ</t>
  </si>
  <si>
    <t>saitamakenrituoomiyakougyoukoutougakkou</t>
  </si>
  <si>
    <t>埼玉栄高等学校</t>
  </si>
  <si>
    <t>サイタマサカエコウトウガッコウ</t>
  </si>
  <si>
    <t>SAITAMASAKAE HIGH SCHOOL</t>
  </si>
  <si>
    <t>栄東高等学校</t>
  </si>
  <si>
    <t>サカエヒガシコウトウガッコウ</t>
  </si>
  <si>
    <t>埼玉県立上尾高等学校</t>
  </si>
  <si>
    <t>サイタマケンリツアゲオコウトウガッコウ</t>
  </si>
  <si>
    <t>ageo high school</t>
  </si>
  <si>
    <t>埼玉県立上尾橘高等学校</t>
  </si>
  <si>
    <t>サイタマケンリツアゲオタチバナコウトウガッコウ</t>
  </si>
  <si>
    <t>AGEOTACHIBANA</t>
  </si>
  <si>
    <t>秀明英光高等学校</t>
  </si>
  <si>
    <t>シュウメイエイコウコウトウガッコウ</t>
  </si>
  <si>
    <t>埼玉県立桶川高等学校</t>
  </si>
  <si>
    <t>サイタマケンリツオケガワコウトウガッコウ</t>
  </si>
  <si>
    <t>Okegawa Football Club</t>
  </si>
  <si>
    <t>埼玉県立桶川西高等学校</t>
  </si>
  <si>
    <t>サイタマケンリツオケガワニシコウトウガッコウ</t>
  </si>
  <si>
    <t>saitamakenrituokegawanisikoutougakou</t>
  </si>
  <si>
    <t>埼玉県立北本高等学校</t>
  </si>
  <si>
    <t>サイタマケンリツキタモトコウトウガッコウ</t>
  </si>
  <si>
    <t>saitamakennritukitamotokoutougatukou</t>
  </si>
  <si>
    <t>埼玉県立伊奈学園総合高等学校サッカー部</t>
  </si>
  <si>
    <t>サイタマケンリツイナガクエンソウゴウコウトウガッコウサッカーブ</t>
  </si>
  <si>
    <t>saitamakenrituinagakuensougoukoutougakkou</t>
  </si>
  <si>
    <t>埼玉県立川越南高等学校</t>
  </si>
  <si>
    <t>サイタマケンリツカワゴエミナミコウトウガッコウ</t>
  </si>
  <si>
    <t>saitamakenritukawagoeminamikoutougakkou</t>
  </si>
  <si>
    <t>埼玉県立川越西高等学校</t>
  </si>
  <si>
    <t>サイタマケンリツカワゴエニシコウトウガッコウ</t>
  </si>
  <si>
    <t>saitamakennritukawagoenisikoutougaltukou</t>
  </si>
  <si>
    <t>星野学園川越東高等学校</t>
  </si>
  <si>
    <t>ホシノガクエンカワゴエヒガシコウトウガッコウ</t>
  </si>
  <si>
    <t>kawagoehigashi</t>
  </si>
  <si>
    <t>埼玉県立川越初雁高等学校サッカー部</t>
  </si>
  <si>
    <t>サイタマケンリツカワゴエハツカリコウトウガッコウサッカーブ</t>
  </si>
  <si>
    <t>埼玉県立川越工業高等学校</t>
  </si>
  <si>
    <t>サイタマケンリツカワゴエコウギョウコウトウガッコウ</t>
  </si>
  <si>
    <t>saitamakenritsu kawagoekougyoukoutougakkou</t>
  </si>
  <si>
    <t>川越市立川越高等学校</t>
  </si>
  <si>
    <t>城西大学付属川越高等学校</t>
  </si>
  <si>
    <t>ジョウサイダイガクフゾクカワゴエコウトウガッコウ</t>
  </si>
  <si>
    <t>josaidaigakuhuzokukawagoe</t>
  </si>
  <si>
    <t>秀明高等学校</t>
  </si>
  <si>
    <t>シュウメイコウトウガッコウ</t>
  </si>
  <si>
    <t>shumeikoutougakkou</t>
  </si>
  <si>
    <t>城北埼玉高等学校</t>
  </si>
  <si>
    <t>ジョウホクサイタマコウトウガッコウ</t>
  </si>
  <si>
    <t>johokusaitama high-school FC</t>
  </si>
  <si>
    <t>埼玉県立所沢北高等学校</t>
  </si>
  <si>
    <t>サイタマケンリツトコロザワキタコウトウガッコウ</t>
  </si>
  <si>
    <t>SAITAMAKENRITUTOKOROZAWAKITAKOUTOUGAKKOU</t>
  </si>
  <si>
    <t>埼玉県立所沢西高等学校</t>
  </si>
  <si>
    <t>サイタマケンリツトコロザワニシコウトウガッコウ</t>
  </si>
  <si>
    <t>Saitamakenritu tokorozawanishi koutougakkou</t>
  </si>
  <si>
    <t>埼玉県立所沢中央高等学校</t>
  </si>
  <si>
    <t>サイタマケンリツトコロザワチュウオウコウトウガッコウ</t>
  </si>
  <si>
    <t>saitamakenritutokorozawachuokoutougakkou</t>
  </si>
  <si>
    <t>所沢商業高校</t>
  </si>
  <si>
    <t>トコロザワショウギョウコウコウ</t>
  </si>
  <si>
    <t>tokorozawashougyoukoukou</t>
  </si>
  <si>
    <t>入間向陽高校フットボール部</t>
  </si>
  <si>
    <t>イルマコウヨウコウコウフットボールブ</t>
  </si>
  <si>
    <t>irumakouyoukoukouhuttobo-rubu</t>
  </si>
  <si>
    <t>埼玉県立豊岡高等学校</t>
  </si>
  <si>
    <t>サイタマケンリツトヨオカコウトウガッコウ</t>
  </si>
  <si>
    <t>saitamakenritutoyookakoutougakkou</t>
  </si>
  <si>
    <t>学校法人狭山ヶ丘学園狭山ヶ丘高等学校</t>
  </si>
  <si>
    <t>ガッコウホウジンサヤマガオカガクエンサヤマガオカコウトウガッコウ</t>
  </si>
  <si>
    <t>sayamagaoka high school</t>
  </si>
  <si>
    <t>埼玉県私立東野高等学校</t>
  </si>
  <si>
    <t>サイタマケンシリツヒガシノコウトウガッコウ</t>
  </si>
  <si>
    <t>Higashino High School</t>
  </si>
  <si>
    <t>埼玉県立狭山清陵高等学校</t>
  </si>
  <si>
    <t>サイタマケンリツサヤマセイリョウコウトウガッコウ</t>
  </si>
  <si>
    <t>sayamaseiryou</t>
  </si>
  <si>
    <t>埼玉県立狭山経済高等学校サッカー部</t>
  </si>
  <si>
    <t>サイタマケンリツサヤマケイザイコウトウガッコウサッカーブ</t>
  </si>
  <si>
    <t>saitamakenritu sayamakeizaihighschoolsoccerclub</t>
  </si>
  <si>
    <t>埼玉県立狭山工業高等学校サッカー部</t>
  </si>
  <si>
    <t>サイタマケンリツサヤマコウギョウコウトウガッコウサッカーブ</t>
  </si>
  <si>
    <t>sayama technical highschool</t>
  </si>
  <si>
    <t>西武学園文理高等学校</t>
  </si>
  <si>
    <t>セイブガクエンブンリコウトウガッコウ</t>
  </si>
  <si>
    <t>seibugakuenbunrikoutougakou</t>
  </si>
  <si>
    <t>埼玉県立松山高等学校</t>
  </si>
  <si>
    <t>サイタマケンリツマツヤマコウトウガッコウ</t>
  </si>
  <si>
    <t>Saitama Prefectural Matsuyama High School</t>
  </si>
  <si>
    <t>東京農業大学第三高等学校</t>
  </si>
  <si>
    <t>トウキョウノウギョウダイガクダイサンコウトウガッコウ</t>
  </si>
  <si>
    <t>nodai3</t>
  </si>
  <si>
    <t>埼玉県立志木高等学校サッカー部</t>
  </si>
  <si>
    <t>サイタマケンリツシキコウトウガッコウサッカーブ</t>
  </si>
  <si>
    <t>SHIKI HIGH SCHOOL SOCCER</t>
  </si>
  <si>
    <t>慶應義塾志木高等学校サッカー部</t>
  </si>
  <si>
    <t>ケイオウギジュクシキコウトウガッコウサッカーブ</t>
  </si>
  <si>
    <t>Keio Shiki Senior High School</t>
  </si>
  <si>
    <t>埼玉県立飯能高等学校サッカー部</t>
  </si>
  <si>
    <t>サイタマケンリツハンノウコウトウガッコウサッカーブ</t>
  </si>
  <si>
    <t xml:space="preserve">HANNO </t>
  </si>
  <si>
    <t>聖望学園高等学校</t>
  </si>
  <si>
    <t>セイボウガクエンコウトウガッコウ</t>
  </si>
  <si>
    <t>seibogakuen high school</t>
  </si>
  <si>
    <t>埼玉県立飯能南高等学校</t>
  </si>
  <si>
    <t>サイタマケンリツハンノウミナミコウトウガッコウ</t>
  </si>
  <si>
    <t>Saitama Prefectural Hanno Minami High School</t>
  </si>
  <si>
    <t>自由の森学園高等学校</t>
  </si>
  <si>
    <t>ジユウノモリガクエンコウトウガッコウ</t>
  </si>
  <si>
    <t>Jiyunomorigakuen High School</t>
  </si>
  <si>
    <t>埼玉県立新座高等学校</t>
  </si>
  <si>
    <t>サイタマケンリツニイザコウトウガッコウ</t>
  </si>
  <si>
    <t>NIIZA HIGH SCHOOL FC</t>
  </si>
  <si>
    <t>埼玉県立新座柳瀬高等学校</t>
  </si>
  <si>
    <t>サイタマケンリツニイザヤナセコウトウガッコウ</t>
  </si>
  <si>
    <t>niizayanase</t>
  </si>
  <si>
    <t>埼玉県立新座総合技術高等学校サッカー部</t>
  </si>
  <si>
    <t>サイタマケンリツニイザソウゴウギジュツコウトウガッコウサッカーブ</t>
  </si>
  <si>
    <t>saitamakennrituniizasougougijyutukoutougakkousakka-bu</t>
  </si>
  <si>
    <t>立教新座高校サッカー部</t>
  </si>
  <si>
    <t>リッキョウニイザコウコウサッカーブ</t>
  </si>
  <si>
    <t>rikkyoniiza</t>
  </si>
  <si>
    <t>私立西武台高等学校</t>
  </si>
  <si>
    <t>シリツセイブダイコウトウガッコウ</t>
  </si>
  <si>
    <t>sirituseibudaikoutougakkou</t>
  </si>
  <si>
    <t>埼玉県立和光高等学校サッカー部</t>
  </si>
  <si>
    <t>サイタマケンリツワコウコウトウガッコウサッカーブ</t>
  </si>
  <si>
    <t>wako soccer club</t>
  </si>
  <si>
    <t>埼玉県立和光国際高等学校</t>
  </si>
  <si>
    <t>サイタマケンリツワコウコクサイコウトウガッコウ</t>
  </si>
  <si>
    <t>SAITAMA PREFECTURAL WAKO KOKUSAI HIGH SCHOOL</t>
  </si>
  <si>
    <t>埼玉県立朝霞高等学校</t>
  </si>
  <si>
    <t>サイタマケンリツアサカコウトウガッコウ</t>
  </si>
  <si>
    <t>saitamakenritsuasakakoutougakkou</t>
  </si>
  <si>
    <t>埼玉県立朝霞西高等学校</t>
  </si>
  <si>
    <t>サイタマケンリツアサカニシコウトウガッコウ</t>
  </si>
  <si>
    <t>saitamakenristuasakanishikoukou</t>
  </si>
  <si>
    <t>埼玉県立坂戸高等学校</t>
  </si>
  <si>
    <t>サイタマケンリツサカドコウトウガッコウ</t>
  </si>
  <si>
    <t>saitamakennritusakadokoutougakkou</t>
  </si>
  <si>
    <t>埼玉県立坂戸西高等学校</t>
  </si>
  <si>
    <t>サイタマケンリツサカドニシコウトウガッコウ</t>
  </si>
  <si>
    <t>SAKADONISHI HIGH SCHOOL</t>
  </si>
  <si>
    <t>武蔵越生高等学校</t>
  </si>
  <si>
    <t>ムサシオゴセコウトウガッコウ</t>
  </si>
  <si>
    <t>musashiogose</t>
  </si>
  <si>
    <t>埼玉県立鶴ケ島清風高等学校</t>
  </si>
  <si>
    <t>サイタマケンリツツルガシマセイフーコウトウガッコウ</t>
  </si>
  <si>
    <t>saitamakenritsutsurugashimaseifukoutougakkou</t>
  </si>
  <si>
    <t>埼玉県　私立　埼玉平成高等学校</t>
  </si>
  <si>
    <t>サイタマケンシリツサイタマヘイセイコウトウガッコウ</t>
  </si>
  <si>
    <t>saitamakennshiritusaitamaheiseikoutougakkou</t>
  </si>
  <si>
    <t>埼玉県立日高高等学校</t>
  </si>
  <si>
    <t>サイタマケンリツヒダカコウトウガッコウ</t>
  </si>
  <si>
    <t>hidaka highschool</t>
  </si>
  <si>
    <t>埼玉県立ふじみ野高等学校</t>
  </si>
  <si>
    <t>サイタマケンリツフジミノコウトウガッコウ</t>
  </si>
  <si>
    <t>saitamakenritsufujiminokoutougakkou</t>
  </si>
  <si>
    <t>埼玉県立滑川総合高等学校</t>
  </si>
  <si>
    <t>サイタマケンリツナメガワソウゴウコウトウガッコウ</t>
  </si>
  <si>
    <t>SAITAMAKENRITUNAMEGAWASOUGOUKOUTOUGAKKOU</t>
  </si>
  <si>
    <t>埼玉県立小川高等学校</t>
  </si>
  <si>
    <t>サイタマケンリツオガワコウトウガッコウ</t>
  </si>
  <si>
    <t>ogawa</t>
  </si>
  <si>
    <t>筑波大学附属坂戸高等学校</t>
  </si>
  <si>
    <t>ツクバダイガクフゾクサカドコウトウガッコウ</t>
  </si>
  <si>
    <t>University of Tsukuba Senior High School at Sakado</t>
  </si>
  <si>
    <t>埼玉県立鳩山高等学校</t>
  </si>
  <si>
    <t>サイタマケンリツハトヤマコウトウガッコウ</t>
  </si>
  <si>
    <t>SAITAMAKENRITSUHATOYAMAKOUTOUGAKKOU</t>
  </si>
  <si>
    <t>第3種</t>
  </si>
  <si>
    <t>koshigaya</t>
  </si>
  <si>
    <t>ＦＯＯＴＢＡＬＬ　ＣＬＵＢ　ＣＯＲＵＪＡ</t>
  </si>
  <si>
    <t>フットボールクラブコルージャ</t>
  </si>
  <si>
    <t>FOOT BALL CLUB CORUJA</t>
  </si>
  <si>
    <t>草加ジュニアフットボールクラブ</t>
  </si>
  <si>
    <t>ソウカジュニアフットボールクラブ</t>
  </si>
  <si>
    <t>sokajuniorfootballclub</t>
  </si>
  <si>
    <t>ロク・フットボールクラブ</t>
  </si>
  <si>
    <t>ロクフットボールクラブ</t>
  </si>
  <si>
    <t>ROKU FOOTBALL CLUB</t>
  </si>
  <si>
    <t>埼玉ＵＮＩＴＥＤフットボールクラブＦＥＳＴＡ</t>
  </si>
  <si>
    <t>サイタマユナイテッドフットボールクラブフェスタ</t>
  </si>
  <si>
    <t>saitamaunitedfootballclubfesta</t>
  </si>
  <si>
    <t>武南ジュニアユースフットボールクラブ</t>
  </si>
  <si>
    <t>ブナンジュニアユースフットボールクラブ</t>
  </si>
  <si>
    <t>BUNAN JUNIOR YOUTH FOOTBALL CLUB</t>
  </si>
  <si>
    <t>Ｙ．Ｏ．ＦＥＺＮＴＳフットボールクラブ</t>
  </si>
  <si>
    <t>ワイオーフェゾンツフットボールクラブ</t>
  </si>
  <si>
    <t>Y.O.FEZNTS FOOTBALL CLUB</t>
  </si>
  <si>
    <t>上尾サッカークラブ</t>
  </si>
  <si>
    <t>アゲオサッカークラブ</t>
  </si>
  <si>
    <t>ageosoccerclub</t>
  </si>
  <si>
    <t>富士見プリメイロＦ・Ｃ</t>
  </si>
  <si>
    <t>フジミプリメイロエフシー</t>
  </si>
  <si>
    <t>大宮西カリオカフットボールクラブ</t>
  </si>
  <si>
    <t>オオミヤニシカリオカフットボールクラブ</t>
  </si>
  <si>
    <t>omiya nishi carioka foot ball club</t>
  </si>
  <si>
    <t>ＨＡＮフットボールクラブ</t>
  </si>
  <si>
    <t>ハンフットボールクラブ</t>
  </si>
  <si>
    <t>HANFC</t>
  </si>
  <si>
    <t>Ａ．Ｎ．ＦＯＲＴＥフットボールクラブ</t>
  </si>
  <si>
    <t>エーエヌフォルチフットボールクラブ</t>
  </si>
  <si>
    <t>A.N.FORTE FOOTBALL CLUB</t>
  </si>
  <si>
    <t>浦和レッドダイヤモンズジュニアユース</t>
  </si>
  <si>
    <t>ウラワレッドダイヤモンズジュニアユース</t>
  </si>
  <si>
    <t>urawa red diamonds junior youth</t>
  </si>
  <si>
    <t>第4種</t>
  </si>
  <si>
    <t>------------</t>
  </si>
  <si>
    <t>アズマフットボールクラブ</t>
  </si>
  <si>
    <t xml:space="preserve">AZUMA FOOTBALL CLUB </t>
  </si>
  <si>
    <t>大宮早起きサッカースポーツ少年団</t>
  </si>
  <si>
    <t>オオミヤハヤオキサッカースポーツショウネンダン</t>
  </si>
  <si>
    <t>omiyahayaokisss</t>
  </si>
  <si>
    <t>大宮別所サッカースポーツ少年団</t>
  </si>
  <si>
    <t>オオミヤベッショサッカースポーツショウネンダン</t>
  </si>
  <si>
    <t>omiya bessyo</t>
  </si>
  <si>
    <t>大宮三橋フットボールクラブジュニア</t>
  </si>
  <si>
    <t>オオミヤミハシフットボールクラブジュニア</t>
  </si>
  <si>
    <t>OMIYA MIHASHI FC Jr.</t>
  </si>
  <si>
    <t>大宮大和田ジュニアーズサッカースポーツ少年団</t>
  </si>
  <si>
    <t>オオミヤオオワダジュニアーズサッカースポーツショウネンダン</t>
  </si>
  <si>
    <t>OmiyaOwadaJuniorsFC</t>
  </si>
  <si>
    <t>東大宮コスモスサッカースポーツ少年団</t>
  </si>
  <si>
    <t>ヒガシオオミヤコスモスサッカースポーツショウネンダン</t>
  </si>
  <si>
    <t>HIGASHIOOMIYA COSMOS SOCCER SPORTS SHOUNENDAN</t>
  </si>
  <si>
    <t>大宮西サッカースポーツ少年団</t>
  </si>
  <si>
    <t>オオミヤニシサッカースポーツショウネンダン</t>
  </si>
  <si>
    <t>Omiyanishi soccer junior sports club</t>
  </si>
  <si>
    <t>大宮大成サッカースポーツ少年団</t>
  </si>
  <si>
    <t>オオミヤオオナリサッカースポーツショウネンダン</t>
  </si>
  <si>
    <t>OOMIYA OONARI SOCCER SPORTS SHONENDAN</t>
  </si>
  <si>
    <t>大宮ＦＣ七里スポーツ少年団</t>
  </si>
  <si>
    <t>オオミヤエフシーナナサトスポーツショウネンダン</t>
  </si>
  <si>
    <t>oomiyafcnanasatosupo-tusyounendan</t>
  </si>
  <si>
    <t>大宮ＳＫＥ　ＦＣスポーツ少年団</t>
  </si>
  <si>
    <t>オオミヤエスケーイーエフシースポーツショウネンダン</t>
  </si>
  <si>
    <t>OMIYASKEFC</t>
  </si>
  <si>
    <t>大宮ＦＣ寿能スポーツ少年団</t>
  </si>
  <si>
    <t>オオミヤエフシージュノウスポーツショウネンダン</t>
  </si>
  <si>
    <t>fcjuno</t>
  </si>
  <si>
    <t>大宮日進サッカースポーツ少年団</t>
  </si>
  <si>
    <t>オオミヤニッシンサッカースポーツショウネンダン</t>
  </si>
  <si>
    <t>大宮東ＦＪＣスポーツ少年団</t>
  </si>
  <si>
    <t>オオミヤヒガシエフジェイシースポーツショウネンダン</t>
  </si>
  <si>
    <t>ohmiya higashi FJC</t>
  </si>
  <si>
    <t>大宮指扇サッカースポーツ少年団</t>
  </si>
  <si>
    <t>オオミヤサシオウギサッカースポーツショウネンダン</t>
  </si>
  <si>
    <t>oomiyasasiougsoccersportssyounendan</t>
  </si>
  <si>
    <t>大宮宮原サッカースポーツ少年団</t>
  </si>
  <si>
    <t>オオミヤミヤハラサッカースポーツショウネンダン</t>
  </si>
  <si>
    <t>Oomiya Miyahara Soccer Sports Shounendan</t>
  </si>
  <si>
    <t>大宮ＫＳユナイテッド０２サッカースポーツ少年団</t>
  </si>
  <si>
    <t>オオミヤＫＳユナイテッド０２サッカースポーツショウネンダン</t>
  </si>
  <si>
    <t>ohmiya ks united 02</t>
  </si>
  <si>
    <t>大宮流星サッカースポーツ少年団</t>
  </si>
  <si>
    <t>オオミヤリュウセイサッカースポーツショウネンダン</t>
  </si>
  <si>
    <t>oomiya ryusei soccer sports shounendan</t>
  </si>
  <si>
    <t>大宮春岡ＦＣスポーツ少年団</t>
  </si>
  <si>
    <t>オオミヤハルオカエフシースポーツショウネンダン</t>
  </si>
  <si>
    <t>HFC</t>
  </si>
  <si>
    <t>大宮朝鮮４・６サッカースポーツ少年団</t>
  </si>
  <si>
    <t>オオミヤチョウセンヨンロクサッカースポーツショウネンダン</t>
  </si>
  <si>
    <t>oomiyachousenyonrokusakka-supo-tsusyounendan</t>
  </si>
  <si>
    <t>大宮南ウイングスフットボールクラブスポーツ少年団</t>
  </si>
  <si>
    <t>オオミヤミナミウイングスフットボールクラブスポーツショウネンダン</t>
  </si>
  <si>
    <t>OMIYAMINAMIWINGS FC</t>
  </si>
  <si>
    <t>与野下落合サッカースポーツ少年団</t>
  </si>
  <si>
    <t>ヨノシモオチアイサッカースポーツショウネンダン</t>
  </si>
  <si>
    <t>yonoshimoochiai-soccersports-club</t>
  </si>
  <si>
    <t>与野西北サッカースポーツ少年団</t>
  </si>
  <si>
    <t>ヨノセイホクサッカースポーツショウネンダン</t>
  </si>
  <si>
    <t>yonoseihoku.ssc</t>
  </si>
  <si>
    <t>与野鈴谷サッカースポーツ少年団</t>
  </si>
  <si>
    <t>ヨノスズヤサッカースポーツショウネンダン</t>
  </si>
  <si>
    <t>YONOSUZUYA SSS</t>
  </si>
  <si>
    <t>与野大戸サッカースポーツ少年団</t>
  </si>
  <si>
    <t>ヨノオオトサッカースポーツショウネンダン</t>
  </si>
  <si>
    <t>YONOOHTO</t>
  </si>
  <si>
    <t>与野上落合サッカースポーツ少年団</t>
  </si>
  <si>
    <t>ヨノカミオチアイサッカースポーツショウネンダン</t>
  </si>
  <si>
    <t xml:space="preserve">Yono Kamiochiai Junior Football Team  </t>
  </si>
  <si>
    <t>与野本町サッカースポーツ少年団</t>
  </si>
  <si>
    <t>ヨノホンマチサッカースポーツショウネンダン</t>
  </si>
  <si>
    <t>yonohonmachi-sss</t>
  </si>
  <si>
    <t>上尾富士見サッカースポーツ少年団</t>
  </si>
  <si>
    <t>アゲオフジミサッカースポーツショーネンダン</t>
  </si>
  <si>
    <t>AGEO FUJIMI SOCCER JUNIOR SPORTS CLUB ASSOCIATION</t>
  </si>
  <si>
    <t>西上尾キッカーズスポーツ少年団</t>
  </si>
  <si>
    <t>ニシアゲオキッカーズスポーツショウネンダン</t>
  </si>
  <si>
    <t>nishiageokickers</t>
  </si>
  <si>
    <t>上尾大石サッカースポーツ少年団</t>
  </si>
  <si>
    <t>アゲオオオイシサッカースポーツショウネンダン</t>
  </si>
  <si>
    <t>AGEO OOISHI SSS</t>
  </si>
  <si>
    <t>上尾上平サッカースポーツ少年団</t>
  </si>
  <si>
    <t>アゲオカミヒラサッカースポーツショウネンダン</t>
  </si>
  <si>
    <t>ageo kamihira sc</t>
  </si>
  <si>
    <t>ＮＰＯ法人アイウィルスポーツクラブ上尾朝日フットボールクラブスポーツ少年団</t>
  </si>
  <si>
    <t>エヌピーオーホウジンアイウィルスポーツクラブアゲオアサヒフットボールクラブスポーツショウネンダン</t>
  </si>
  <si>
    <t>ageoasahifc</t>
  </si>
  <si>
    <t>上尾東サッカースポーツ少年団</t>
  </si>
  <si>
    <t>アゲオヒガシサッカースポーツショウネンダン</t>
  </si>
  <si>
    <t>ageo higashi soccer club</t>
  </si>
  <si>
    <t>上尾双葉台サッカースポーツ少年団</t>
  </si>
  <si>
    <t>アゲオフタバダイサッカースポーツショウネンダン</t>
  </si>
  <si>
    <t>ageofutabadai soccer sports syounenndann</t>
  </si>
  <si>
    <t>桶川サッカースポーツ少年団</t>
  </si>
  <si>
    <t>オケガワサッカースポーツショウネンダン</t>
  </si>
  <si>
    <t>OkegawaSoccerSportsSyounendan</t>
  </si>
  <si>
    <t>桶川レッドサッカースポーツ少年団</t>
  </si>
  <si>
    <t>オケガワレッドサッカースポーツショウネンダン</t>
  </si>
  <si>
    <t>okegawared</t>
  </si>
  <si>
    <t>伊奈サッカースポーツ少年団</t>
  </si>
  <si>
    <t>イナサッカースポーツショウネンダン</t>
  </si>
  <si>
    <t>inasss</t>
  </si>
  <si>
    <t>伊奈小針サッカースポーツ少年団</t>
  </si>
  <si>
    <t>イナコバリサッカースポーツショウネンダン</t>
  </si>
  <si>
    <t>KOBARI S.S.S.</t>
  </si>
  <si>
    <t>北本少年サッカークラブ　スポーツ少年団</t>
  </si>
  <si>
    <t>キタモトショウネンサッカークラブ　スポーツショウネンダン</t>
  </si>
  <si>
    <t>Kitamoto.S.S.C</t>
  </si>
  <si>
    <t>北本キッカーズサッカースポーツ少年団</t>
  </si>
  <si>
    <t>キタモトキッカーズサッカースポーツショウネンダン</t>
  </si>
  <si>
    <t>kitamotokickerssoccersportssyounendan</t>
  </si>
  <si>
    <t>北本石戸サッカースポーツ少年団</t>
  </si>
  <si>
    <t>キタモトイシトサッカースポーツショウネンダン</t>
  </si>
  <si>
    <t>KITAMOTO ISHITO SOCCER</t>
  </si>
  <si>
    <t>鴻巣市田間宮サッカースポーツ少年団</t>
  </si>
  <si>
    <t>コウノスシタマミヤサッカースポーツショウネンダン</t>
  </si>
  <si>
    <t>kounosusitamamiyasakka-supo-tusyounenndann</t>
  </si>
  <si>
    <t>鴻巣ドルフィンズフットボールクラブ・スポーツ少年団</t>
  </si>
  <si>
    <t>コウノスドルフィンズフットボールクラブスポーツショウネンダン</t>
  </si>
  <si>
    <t>Kounosu Dolphins Football Club</t>
  </si>
  <si>
    <t>鴻巣ジュニアサッカークラブスポーツ少年団</t>
  </si>
  <si>
    <t>コウノスジュニアサッカークラブスポーツショウネンダン</t>
  </si>
  <si>
    <t>KOUNOSU JUNIOR SOCCER CLUB</t>
  </si>
  <si>
    <t>鴻巣ＭＪキッカーズサッカースポーツ少年団</t>
  </si>
  <si>
    <t>コウノスエムジェイキッカーズサッカースポーツショウネンダン</t>
  </si>
  <si>
    <t>Kounosu MJ Kickers</t>
  </si>
  <si>
    <t>浦和大久保サッカー少年団</t>
  </si>
  <si>
    <t>ウラワオオクボサッカーショウネンダン</t>
  </si>
  <si>
    <t>URAWAOOKUBO</t>
  </si>
  <si>
    <t>浦和栄和スポーツ少年団サッカー部</t>
  </si>
  <si>
    <t>ウラワサカワスポーツショウネンダンサッカーブ</t>
  </si>
  <si>
    <t>Urawa Sakawa Junior Sports Clubs Soccer Part</t>
  </si>
  <si>
    <t>浦和土合サッカースポーツ少年団</t>
  </si>
  <si>
    <t>ウラワツチアイサッカースポーツショウネンダン</t>
  </si>
  <si>
    <t>Urawa Tsuchiai Soccer Club</t>
  </si>
  <si>
    <t>浦和中島サッカー少年団</t>
  </si>
  <si>
    <t>ウラワナカジマサッカーショウネンダン</t>
  </si>
  <si>
    <t>urawa nakajima soccer shounendan</t>
  </si>
  <si>
    <t>西浦和サッカースポーツ少年団</t>
  </si>
  <si>
    <t>ニシウラワサッカースポーツショウネンダン</t>
  </si>
  <si>
    <t>nishiurawa</t>
  </si>
  <si>
    <t>浦和田島サッカースポーツ少年団</t>
  </si>
  <si>
    <t>ウラワタジマサッカースポーツショウネンダン</t>
  </si>
  <si>
    <t>urawatajimasakka-supo-tusilyounenndann</t>
  </si>
  <si>
    <t>岸町サッカー少年団</t>
  </si>
  <si>
    <t>キシマチサッカーショウネンダン</t>
  </si>
  <si>
    <t>Kishimachi Junior Football Club</t>
  </si>
  <si>
    <t>浦和別所サッカースポーツ少年団</t>
  </si>
  <si>
    <t>ウラワベッショサッカースポーツショウネンダン</t>
  </si>
  <si>
    <t>urawabessho soccer sports shonendan</t>
  </si>
  <si>
    <t>浦和新開サッカースポーツ少年団</t>
  </si>
  <si>
    <t>ウラワシビラキサッカースポーツショウネンダン</t>
  </si>
  <si>
    <t>沼影サッカースポーツ少年団</t>
  </si>
  <si>
    <t>ヌマカゲサッカースポーツショウネンダン</t>
  </si>
  <si>
    <t>numakage</t>
  </si>
  <si>
    <t>南浦和サッカー少年団</t>
  </si>
  <si>
    <t>ミナミウラワサッカーショウネンダン</t>
  </si>
  <si>
    <t>minamiurawa junior soccer team</t>
  </si>
  <si>
    <t>浦和文蔵サッカースポーツ少年団</t>
  </si>
  <si>
    <t>ウラワブゾウサッカースポーツショウネンダン</t>
  </si>
  <si>
    <t>URAWABUZO SOCCERJUNIOR  SPORTSCLUB</t>
  </si>
  <si>
    <t>浦和辻サッカー少年団</t>
  </si>
  <si>
    <t>ウラワツジサッカーショウネンダン</t>
  </si>
  <si>
    <t>URAWA TSUJI SS</t>
  </si>
  <si>
    <t>浦和南サッカースポーツ少年団</t>
  </si>
  <si>
    <t>ウラワミナミサッカースポーツショウネンダン</t>
  </si>
  <si>
    <t>urawaminami</t>
  </si>
  <si>
    <t>浦和高砂スポーツ少年団サッカー部</t>
  </si>
  <si>
    <t>ウラワタカサゴスポーツショウネンダンサッカーブ</t>
  </si>
  <si>
    <t>URAWA TAKASAGO SOCCER</t>
  </si>
  <si>
    <t>浦和谷田善前サッカー少年団</t>
  </si>
  <si>
    <t>ウラワヤダゼンマエサッカーショウネンダン</t>
  </si>
  <si>
    <t>Urawa Yadazenmae Soccer Boy Scouts</t>
  </si>
  <si>
    <t>浦和大谷場サッカー少年団</t>
  </si>
  <si>
    <t>ウラワオオヤバサッカーショウネンダン</t>
  </si>
  <si>
    <t>urawaohyaba SSS</t>
  </si>
  <si>
    <t>浦和大谷口サッカースポーツ少年団</t>
  </si>
  <si>
    <t>ウラワオオヤグチサッカースポーツショウネンダン</t>
  </si>
  <si>
    <t>URWA OHYAGUCHI Jr FOOTBALL CLUB</t>
  </si>
  <si>
    <t>浦和仲本サッカースポーツ少年団</t>
  </si>
  <si>
    <t>ウラワナカモトサッカースポーツショウネンダン</t>
  </si>
  <si>
    <t>urawa nakamoto sss</t>
  </si>
  <si>
    <t>浦和道祖土サッカー少年団</t>
  </si>
  <si>
    <t>ウラワサイドサッカーショウネンダン</t>
  </si>
  <si>
    <t>Urawa Saido Football Club</t>
  </si>
  <si>
    <t>浦和駒場サッカースポーツ少年団</t>
  </si>
  <si>
    <t>ウラワコマバサッカースポーツショウネンダン</t>
  </si>
  <si>
    <t>urawa komaba soccer sc</t>
  </si>
  <si>
    <t>浦和尾間木サッカースポーツ少年団</t>
  </si>
  <si>
    <t>ウラワオマギサッカースポーツショウネンダン</t>
  </si>
  <si>
    <t>Urawaomagi soccersports syonendan</t>
  </si>
  <si>
    <t>浦和中尾サッカースポーツ少年団</t>
  </si>
  <si>
    <t>ウラワナカオサッカースポーツショウネンダン</t>
  </si>
  <si>
    <t>URAWA NAKAO.Jr FOOTBALL CLUB</t>
  </si>
  <si>
    <t>浦和大牧サッカースポーツ少年団</t>
  </si>
  <si>
    <t>ウラワオオマキサッカースポーツショウネンダン</t>
  </si>
  <si>
    <t>浦和大門サッカー少年団</t>
  </si>
  <si>
    <t>ウラワダイモンサッカーショウネンダン</t>
  </si>
  <si>
    <t>浦和美園サッカークラブジュニア</t>
  </si>
  <si>
    <t>ウラワミソノサッカークラブジュニア</t>
  </si>
  <si>
    <t>urawamisono soccer club jr.</t>
  </si>
  <si>
    <t>浦和本太サッカー少年団</t>
  </si>
  <si>
    <t>ウラワモトブトサッカーショウネンダン</t>
  </si>
  <si>
    <t>浦和大東サッカースポーツ少年団</t>
  </si>
  <si>
    <t>ウラワダイトウサッカースポーツショウネンダン</t>
  </si>
  <si>
    <t>urawadaitousoccersuportshounenndann</t>
  </si>
  <si>
    <t>浦和三室サッカースポーツ少年団</t>
  </si>
  <si>
    <t>ウラワミムロサッカースポーツショウネンダン</t>
  </si>
  <si>
    <t>URAWA MIMURO SSS</t>
  </si>
  <si>
    <t>北浦和サッカースポーツ少年団</t>
  </si>
  <si>
    <t>キタウラワサッカースポーツショウネンダン</t>
  </si>
  <si>
    <t>浦和芝原サッカー少年団</t>
  </si>
  <si>
    <t>ウラワシバハラサッカーショウネンダン</t>
  </si>
  <si>
    <t>URAWA SHIBAHARA SS</t>
  </si>
  <si>
    <t>浦和木崎サッカースポーツ少年団</t>
  </si>
  <si>
    <t>ウラワキザキサッカースポーツショウネンダン</t>
  </si>
  <si>
    <t xml:space="preserve">URAWA KIZAKI </t>
  </si>
  <si>
    <t>針ケ谷サッカー少年団</t>
  </si>
  <si>
    <t>ハリガヤサッカーショウネンダン</t>
  </si>
  <si>
    <t>harigaya-soccer-syounendan</t>
  </si>
  <si>
    <t>浦和上木崎サッカースポーツ少年団</t>
  </si>
  <si>
    <t>ウラワカミキザキサッカースポーツショウネンダン</t>
  </si>
  <si>
    <t>kamikizaki</t>
  </si>
  <si>
    <t>浦和仲町サッカー少年団</t>
  </si>
  <si>
    <t>ウラワナカチョウサッカーショウネンダン</t>
  </si>
  <si>
    <t>Urawa Nakacho Soccer Shounendan</t>
  </si>
  <si>
    <t>ＦＣ浦和</t>
  </si>
  <si>
    <t>エフシーウラワ</t>
  </si>
  <si>
    <t>FC URAWA</t>
  </si>
  <si>
    <t>神根東サッカー少年団</t>
  </si>
  <si>
    <t>カミネヒガシサッカーショウネンダン</t>
  </si>
  <si>
    <t>KAMINEHIGASHI JUNIOR FOOTBALL CLUB</t>
  </si>
  <si>
    <t>青木中央少年サッカークラブ</t>
  </si>
  <si>
    <t>アオキチュウオウショウネンサッカークラブ</t>
  </si>
  <si>
    <t>Aoki-chuo Boys &amp; Girls Soccer Club.</t>
  </si>
  <si>
    <t>川口朝日リボルバーサッカー少年団</t>
  </si>
  <si>
    <t>カワグチアサヒリボルバーサッカーショウネンダン</t>
  </si>
  <si>
    <t>Kawaguchi Asahi Revolver Soccer Boys Scouts</t>
  </si>
  <si>
    <t>慈林サッカー少年団</t>
  </si>
  <si>
    <t>ジリンサッカーショウネンダン</t>
  </si>
  <si>
    <t>JIRIN SOCCER SYOUNENDAN</t>
  </si>
  <si>
    <t>川口芝ＦＣ</t>
  </si>
  <si>
    <t>カワグチシバエフシー</t>
  </si>
  <si>
    <t>kawagutishibaafushi</t>
  </si>
  <si>
    <t>飯塚少年サッカークラブ</t>
  </si>
  <si>
    <t>イイヅカショウネンサッカークラブ</t>
  </si>
  <si>
    <t>iizukasyonensoccerclub</t>
  </si>
  <si>
    <t>川口サッカー少年団</t>
  </si>
  <si>
    <t>カワグチサッカーショウネンダン</t>
  </si>
  <si>
    <t>芝樋ノ爪蹴球少年団</t>
  </si>
  <si>
    <t>シバヒノツメシュウキュウショウネンダン</t>
  </si>
  <si>
    <t>Shibahinotsume Syukyu Syounendan</t>
  </si>
  <si>
    <t>東スポーツセンター少年サッカークラブ</t>
  </si>
  <si>
    <t>ヒガシスポーツセンターショウネンサッカークラブ</t>
  </si>
  <si>
    <t>higashisportscentersyounensoccerclub</t>
  </si>
  <si>
    <t>戸塚フットボールクラブジュニア</t>
  </si>
  <si>
    <t>トヅカフットボールクラブジュニア</t>
  </si>
  <si>
    <t>TOZUKAFCJ</t>
  </si>
  <si>
    <t>新郷少年サッカークラブ</t>
  </si>
  <si>
    <t>シンゴウショウネンサッカークラブ</t>
  </si>
  <si>
    <t>柳崎サッカークラブジュニア</t>
  </si>
  <si>
    <t>ヤナギサキサッカークラブジュニア</t>
  </si>
  <si>
    <t>上青木少年サッカークラブ</t>
  </si>
  <si>
    <t>カミアオキショウネンサッカークラブ</t>
  </si>
  <si>
    <t>kamiaokissc</t>
  </si>
  <si>
    <t>安行東サッカー少年団</t>
  </si>
  <si>
    <t>アンギョウヒガシサッカーショウネンダン</t>
  </si>
  <si>
    <t>angyouhigashi</t>
  </si>
  <si>
    <t>青木北ウィングスサッカー少年団</t>
  </si>
  <si>
    <t>アオキキタウィングスサッカーショウネンダン</t>
  </si>
  <si>
    <t>aokikitawings</t>
  </si>
  <si>
    <t>鳩ヶ谷キッカーズ</t>
  </si>
  <si>
    <t>ハトガヤキッカーズ</t>
  </si>
  <si>
    <t>hatogayakickers</t>
  </si>
  <si>
    <t>鳩南サッカースポーツ少年団</t>
  </si>
  <si>
    <t>ハトナンサッカースポーツショウネンダン</t>
  </si>
  <si>
    <t xml:space="preserve">HATONAN SSS </t>
  </si>
  <si>
    <t>ＫＯＢＡＴＯサッカースポーツ少年団</t>
  </si>
  <si>
    <t>コバトサッカースポーツショウネンダン</t>
  </si>
  <si>
    <t>KOBATO FC</t>
  </si>
  <si>
    <t>蕨中央サッカースポーツ少年団</t>
  </si>
  <si>
    <t>ワラビチュウオウサッカースポーツショウネンダン</t>
  </si>
  <si>
    <t>warabicyuosoccer Junior Sports Club</t>
  </si>
  <si>
    <t>わらび錦サッカースポーツ少年団</t>
  </si>
  <si>
    <t>ワラビニシキサッカースポーツショウネンダン</t>
  </si>
  <si>
    <t>warabinisikisoccer sportsshounendan</t>
  </si>
  <si>
    <t>蕨北町サッカー</t>
  </si>
  <si>
    <t>ワラビキタマチサッカー</t>
  </si>
  <si>
    <t>warabikitamachisakka</t>
  </si>
  <si>
    <t>蕨塚越サッカー少年団</t>
  </si>
  <si>
    <t>ワラビツカゴシサッカーショウネンダン</t>
  </si>
  <si>
    <t>warabitsukagoshi</t>
  </si>
  <si>
    <t>蕨南サッカースポーツ少年団</t>
  </si>
  <si>
    <t>ワラビミナミサッカースポーツショウネンダン</t>
  </si>
  <si>
    <t>warabiminai</t>
  </si>
  <si>
    <t>喜沢サッカースポーツ少年団</t>
  </si>
  <si>
    <t>キザワサッカースポーツショウネンダン</t>
  </si>
  <si>
    <t>kizawa sc</t>
  </si>
  <si>
    <t>Ｆ．Ｃ．ＮＩＩＺＯ</t>
  </si>
  <si>
    <t>フットボールクラブニイゾ</t>
  </si>
  <si>
    <t>footballculb niizo</t>
  </si>
  <si>
    <t>戸田二サッカースポーツ少年団</t>
  </si>
  <si>
    <t>トダニサッカースポーツショウネンダン</t>
  </si>
  <si>
    <t>TODANI SOCCER JUNIOR SPORTS CLUB</t>
  </si>
  <si>
    <t>ＦＣ東８５サッカースポーツ少年団</t>
  </si>
  <si>
    <t>エフシーヒガシハチジュウゴサッカースポーツショウネンダン</t>
  </si>
  <si>
    <t>FChigashi85soccersportsshounenndann</t>
  </si>
  <si>
    <t>美女木ＦＣスポーツ少年団</t>
  </si>
  <si>
    <t>ビジョギエフシースポーツショウネンダン</t>
  </si>
  <si>
    <t>bijogifc</t>
  </si>
  <si>
    <t>戸田南ＦＣスポーツ少年団</t>
  </si>
  <si>
    <t>トダミナミエフシースポーツショウネンダン</t>
  </si>
  <si>
    <t>TODAMINAMI FOOTBALL CLUB</t>
  </si>
  <si>
    <t>美谷本ＦＣスポーツ少年団</t>
  </si>
  <si>
    <t>ミヤモトエフシースポーツショウネンダン</t>
  </si>
  <si>
    <t>MIYAMOTO FC</t>
  </si>
  <si>
    <t>新座西堀キッカーズ</t>
  </si>
  <si>
    <t>ニイザニシボリキッカーズ</t>
  </si>
  <si>
    <t>NIIZA NISHIBORI KICKERS</t>
  </si>
  <si>
    <t>新座スカイファイターズ</t>
  </si>
  <si>
    <t>ニイザスカイファイターズ</t>
  </si>
  <si>
    <t>niizaskyfighters</t>
  </si>
  <si>
    <t>新座たけしのキッカーズ</t>
  </si>
  <si>
    <t>ニイザタケシノキッカーズ</t>
  </si>
  <si>
    <t>niizatakeshinokikka-zu</t>
  </si>
  <si>
    <t>新座陣屋キッカーズ・サッカー・スポーツ少年団</t>
  </si>
  <si>
    <t>ニイザジンヤキッカーズサッカースポーツショウネンダン</t>
  </si>
  <si>
    <t>niiza jinya kickers soccer sports shonendan</t>
  </si>
  <si>
    <t>新座第四サッカースポーツ少年団</t>
  </si>
  <si>
    <t>ニイザダイヨンサッカースポーツショウネンダン</t>
  </si>
  <si>
    <t>niiza daiyon soccer sports shounendan</t>
  </si>
  <si>
    <t>新座ストロングサッカークラブ</t>
  </si>
  <si>
    <t>ニイザストロングサッカークラブ</t>
  </si>
  <si>
    <t>朝志ケ丘サッカースポーツ少年団</t>
  </si>
  <si>
    <t>アサシガオカサッカースポーツショウネンダン</t>
  </si>
  <si>
    <t>Asashigaoka soccer sports club</t>
  </si>
  <si>
    <t>栄サッカースポーツ少年団</t>
  </si>
  <si>
    <t>サカエサッカースポーツショウネンダン</t>
  </si>
  <si>
    <t>sakaesoccersportsclub</t>
  </si>
  <si>
    <t>朝霞いずみサッカースポーツ少年団</t>
  </si>
  <si>
    <t>アサカイズミサッカースポーツショウネンダン</t>
  </si>
  <si>
    <t>asakaizumisakkashounendann</t>
  </si>
  <si>
    <t>三原フットボールクラブ</t>
  </si>
  <si>
    <t>ミハラフットボールクラブ</t>
  </si>
  <si>
    <t>MIHARA football club</t>
  </si>
  <si>
    <t>レッツドラゴンサッカースポーツ少年団</t>
  </si>
  <si>
    <t>レッツドラゴンサッカースポーツショウネンダン</t>
  </si>
  <si>
    <t>Let'sdoragonSSS</t>
  </si>
  <si>
    <t>レッツアサカサッカークラブ</t>
  </si>
  <si>
    <t>LET'S ASAKA SOCCER CLUB</t>
  </si>
  <si>
    <t>柏葉サッカースポーツ少年団</t>
  </si>
  <si>
    <t>カシワバサッカースポーツショウネンダン</t>
  </si>
  <si>
    <t>kashiwaba sss</t>
  </si>
  <si>
    <t>ＦＣ宗岡</t>
  </si>
  <si>
    <t>エフシームネオカ</t>
  </si>
  <si>
    <t>fc-muneoka</t>
  </si>
  <si>
    <t>ＦＣ．コスモス</t>
  </si>
  <si>
    <t>エフシーコスモス</t>
  </si>
  <si>
    <t>FC.COSMOS</t>
  </si>
  <si>
    <t>ＦＣ新倉エイトワン　スポーツ少年団</t>
  </si>
  <si>
    <t>エフシーニイクラエイトワンスポーツショウネンダン</t>
  </si>
  <si>
    <t>fc niikiua81</t>
  </si>
  <si>
    <t>ＦＣ和光イレブンスポーツ少年団</t>
  </si>
  <si>
    <t>エフシーワコウイレブンスポーツショウネンダン</t>
  </si>
  <si>
    <t>fcwakoeleven</t>
  </si>
  <si>
    <t>ＦＣ和光キッカーズ</t>
  </si>
  <si>
    <t>エフシーワコウキッカーズ</t>
  </si>
  <si>
    <t>FC WAKO KICKERS</t>
  </si>
  <si>
    <t>中体連</t>
  </si>
  <si>
    <t>さいたま市立桜木中学校サッカー部</t>
  </si>
  <si>
    <t>サイタマシリツサクラギチュウガッコウサッカーブ</t>
  </si>
  <si>
    <t>sakuragi junior youth soccer club</t>
  </si>
  <si>
    <t>0210935</t>
  </si>
  <si>
    <t>川口市立青木中学校</t>
  </si>
  <si>
    <t>カワグチシリツアオキチュウガッコウ</t>
  </si>
  <si>
    <t>0210946</t>
  </si>
  <si>
    <t>柏原ジャガーズサッカークラブ</t>
  </si>
  <si>
    <t>カシワバラジャガーズサッカークラブ</t>
  </si>
  <si>
    <t>kashiwabarajaguarssoccerclub</t>
  </si>
  <si>
    <t>小川東中学校サッカー部</t>
  </si>
  <si>
    <t>オガワヒガシチュウガッコウサッカーブ</t>
  </si>
  <si>
    <t>OGAWA EAST JUNIOR HIGH SCHOOL FC</t>
  </si>
  <si>
    <t>0210968</t>
  </si>
  <si>
    <t>埼玉県比企郡小川町立西中学校サッカー部</t>
  </si>
  <si>
    <t>サイタマケンヒキグンオガワチョウリツニシチュウガッコウサッカーブ</t>
  </si>
  <si>
    <t>ogawanishi junior high school fc</t>
  </si>
  <si>
    <t>0210979</t>
  </si>
  <si>
    <t>比企郡川島町立西中学校サッカー部</t>
  </si>
  <si>
    <t>ヒキグンカワジマチョウリツニシチュウガッコウサッカーブ</t>
  </si>
  <si>
    <t>kawajimanishi.jh</t>
  </si>
  <si>
    <t>0211004</t>
  </si>
  <si>
    <t>滑川町立滑川中学校サッカー部</t>
  </si>
  <si>
    <t>ナメガワチョウリツナメガワチュウガッコウサッカーブ</t>
  </si>
  <si>
    <t>NAMEGAWA JHS FC</t>
  </si>
  <si>
    <t>0211026</t>
  </si>
  <si>
    <t>本庄市立本庄東中学校サッカー部</t>
  </si>
  <si>
    <t>ホンジョウシリツホンジョウヒガシチュウガッコウサッカーブ</t>
  </si>
  <si>
    <t>HONJO HIGASHI JH FC</t>
  </si>
  <si>
    <t>0211093</t>
  </si>
  <si>
    <t>本庄西中学校</t>
  </si>
  <si>
    <t>ホンジョウニシチュウガッコウ</t>
  </si>
  <si>
    <t>HONJYOWEST JUNIOR HIGH SCHOOL</t>
  </si>
  <si>
    <t>0211105</t>
  </si>
  <si>
    <t>本庄市立本庄南中学校</t>
  </si>
  <si>
    <t>ホンジョウシリツホンジョウミナミチュウガッコウ</t>
  </si>
  <si>
    <t>honjo jr high school FC</t>
  </si>
  <si>
    <t>0211116</t>
  </si>
  <si>
    <t>埼玉県本庄市立児玉中学校サッカー部</t>
  </si>
  <si>
    <t>サイタマケンホンジョウシリツコダマチュウガッコウ</t>
  </si>
  <si>
    <t>Honjo-Kodama junior high school football club</t>
  </si>
  <si>
    <t>0211127</t>
  </si>
  <si>
    <t>児玉郡上里町立上里中学校サッカー部</t>
  </si>
  <si>
    <t>コダマグンカミサトチョウリツカミサトチュウガッコウサッカーブ</t>
  </si>
  <si>
    <t>kamisato JHS fc</t>
  </si>
  <si>
    <t>0211138</t>
  </si>
  <si>
    <t>神川町立神川中学校</t>
  </si>
  <si>
    <t>カミカワチョウリツカミカワチュウガッコウ</t>
  </si>
  <si>
    <t>KAMIKAWATYOURITUKAMIKAWATYUUGAKKOU</t>
  </si>
  <si>
    <t>0211149</t>
  </si>
  <si>
    <t>熊谷市立熊谷東中学校</t>
  </si>
  <si>
    <t>クマガヤシリツクマガヤヒガシチュウガッコウ</t>
  </si>
  <si>
    <t>Kumagaya Higashi Junior High School</t>
  </si>
  <si>
    <t>0211161</t>
  </si>
  <si>
    <t>熊谷市立玉井中学校</t>
  </si>
  <si>
    <t>クマガヤシリツタマイチュウガッコウ</t>
  </si>
  <si>
    <t>KUMAGAYA TAMAI JUNIOR HIGH SCHOOL</t>
  </si>
  <si>
    <t>0211172</t>
  </si>
  <si>
    <t>越谷市立新栄中学校サッカー部</t>
  </si>
  <si>
    <t>コシガヤシリツシンエイチュウガッコウサッカーブ</t>
  </si>
  <si>
    <t>Koshigaya shinei junior high school</t>
  </si>
  <si>
    <t>0211194</t>
  </si>
  <si>
    <t>越谷市立大相模中学校サッカー部</t>
  </si>
  <si>
    <t>コシガヤシリツオオサガミチュウガッコウサッカーブ</t>
  </si>
  <si>
    <t>koshigayasiritsuohsagamicyugakkousakkabu</t>
  </si>
  <si>
    <t>0211206</t>
  </si>
  <si>
    <t>久喜市立久喜中学校サッカー部</t>
  </si>
  <si>
    <t>クキシリツクキチュウガッコウサッカーブ</t>
  </si>
  <si>
    <t>KUKI JUNIOR HIGH SCHOOL SOCCER CLUB</t>
  </si>
  <si>
    <t>0211217</t>
  </si>
  <si>
    <t>久喜市立久喜南中学校</t>
  </si>
  <si>
    <t>クキシリツクキミナミチュウガッコウ</t>
  </si>
  <si>
    <t>Kukiminami J.H.S. FC</t>
  </si>
  <si>
    <t>0211228</t>
  </si>
  <si>
    <t>久喜市立太東中学校</t>
  </si>
  <si>
    <t>クキシリツタイトウチュウガッコウ</t>
  </si>
  <si>
    <t>kukisirututaitoutyugattkou</t>
  </si>
  <si>
    <t>0211240</t>
  </si>
  <si>
    <t>八潮市立八潮中学校サッカー部</t>
  </si>
  <si>
    <t>ヤシオシリツヤシオチュウガッコウサッカーブ</t>
  </si>
  <si>
    <t>YASHIO Jr.high school</t>
  </si>
  <si>
    <t>0211251</t>
  </si>
  <si>
    <t>埼玉県八潮市立大原中学校</t>
  </si>
  <si>
    <t>サイタマケンヤシオシリツダイバラチュウガッコウ</t>
  </si>
  <si>
    <t>saitamakenyasiosiritudaibaratyuugakkou</t>
  </si>
  <si>
    <t>0211262</t>
  </si>
  <si>
    <t>八幡中学校サッカー部</t>
  </si>
  <si>
    <t>ヤワタチュウガッコウサッカーブ</t>
  </si>
  <si>
    <t>yawata j.h.s</t>
  </si>
  <si>
    <t>0211284</t>
  </si>
  <si>
    <t>埼玉県三郷市立早稲田中学校</t>
  </si>
  <si>
    <t>サイタマケンミサトシリツワセダチュウガッコウ</t>
  </si>
  <si>
    <t>MISATO WASEDA FC</t>
  </si>
  <si>
    <t>0211329</t>
  </si>
  <si>
    <t>三郷市立瑞穂中学校サッカー部</t>
  </si>
  <si>
    <t>ミサトシリツミズホチュウガッコウサッカーブ</t>
  </si>
  <si>
    <t>mizuhofc</t>
  </si>
  <si>
    <t>0211330</t>
  </si>
  <si>
    <t>黒浜中学校サッカー部</t>
  </si>
  <si>
    <t>クロハマチュウガッコウサッカーブ</t>
  </si>
  <si>
    <t xml:space="preserve">KUROHAMA JHS </t>
  </si>
  <si>
    <t>0211341</t>
  </si>
  <si>
    <t>埼玉県蓮田市立黒浜西中学校サッカー部</t>
  </si>
  <si>
    <t>サイタマケンハスダシリツクロハマニシチュウガッコウサッカーブ</t>
  </si>
  <si>
    <t>kurohamanishichu</t>
  </si>
  <si>
    <t>0211352</t>
  </si>
  <si>
    <t>埼玉県幸手市立幸手中学校</t>
  </si>
  <si>
    <t>サイタマケンサッテシリツサッテチュウガッコウ</t>
  </si>
  <si>
    <t>SATTE</t>
  </si>
  <si>
    <t>0211363</t>
  </si>
  <si>
    <t>幸手市立西中学校サッカー部</t>
  </si>
  <si>
    <t>サッテシリツニシチュウガッコウサッカーブ</t>
  </si>
  <si>
    <t>satte nishi junior high school fc</t>
  </si>
  <si>
    <t>0211385</t>
  </si>
  <si>
    <t>白岡市立白岡中学校サッカー部</t>
  </si>
  <si>
    <t>シラオカシリツシラオカチュウガッコウサッカーブ</t>
  </si>
  <si>
    <t>0211396</t>
  </si>
  <si>
    <t>埼玉県白岡市立菁莪中学校サッカー部</t>
  </si>
  <si>
    <t>サイタマケンシラオカシリツセイガチュウガッコウサッカーブ</t>
  </si>
  <si>
    <t>saitamakenshiraokashiritsuseigachuugakkousakka-bu</t>
  </si>
  <si>
    <t>0211408</t>
  </si>
  <si>
    <t>白岡市立南中学校サッカー部</t>
  </si>
  <si>
    <t>シラオカシリツミナミチュウガッコウサッカーブ</t>
  </si>
  <si>
    <t>Shiraokaminami junior high school soccer club</t>
  </si>
  <si>
    <t>0211419</t>
  </si>
  <si>
    <t>菖蒲中サッカー部</t>
  </si>
  <si>
    <t>ショウブチュウサッカーブ</t>
  </si>
  <si>
    <t>SHOBU JHS FC</t>
  </si>
  <si>
    <t>0211420</t>
  </si>
  <si>
    <t>南埼玉郡宮代町立須賀中学校サッカー部</t>
  </si>
  <si>
    <t>ミナミサイタマグンミヤシロチョウリツスカチュウガッコウサッカーブ</t>
  </si>
  <si>
    <t>minamisaitamagunmiyashirotyouritusykachuugakkou</t>
  </si>
  <si>
    <t>0211442</t>
  </si>
  <si>
    <t>宮代町立百間中学校サッカー部</t>
  </si>
  <si>
    <t>ミヤシロチョウリツモンマチュウガッコウサッカーブ</t>
  </si>
  <si>
    <t>MONMA</t>
  </si>
  <si>
    <t>0211453</t>
  </si>
  <si>
    <t>栗橋東中学校サッカー部</t>
  </si>
  <si>
    <t>クリハシヒガシチュウガッコウサッカーブ</t>
  </si>
  <si>
    <t>KURIHASHI HIGASHI FC</t>
  </si>
  <si>
    <t>0211475</t>
  </si>
  <si>
    <t>久喜市立栗橋西中学校</t>
  </si>
  <si>
    <t>クキシリツクリハシニシチュウガッコウ</t>
  </si>
  <si>
    <t>Kurihashinishi J.H.S.</t>
  </si>
  <si>
    <t>0211486</t>
  </si>
  <si>
    <t>久喜市立鷲宮東中学校サッカー部</t>
  </si>
  <si>
    <t>クキシリツワシノミヤヒガシチュウガッコウサッカーブ</t>
  </si>
  <si>
    <t>0211510</t>
  </si>
  <si>
    <t>杉戸町立杉戸中学校</t>
  </si>
  <si>
    <t>スギトチョウリツスギトチュウガッコウ</t>
  </si>
  <si>
    <t>0211521</t>
  </si>
  <si>
    <t>杉戸町立広島中学校</t>
  </si>
  <si>
    <t>スギトチョウリツヒロシマチュウガッコウ</t>
  </si>
  <si>
    <t>sugitochourituhirosimachuugakkou</t>
  </si>
  <si>
    <t>0211532</t>
  </si>
  <si>
    <t>吉川市立東中学校サッカー部</t>
  </si>
  <si>
    <t>ヨシカワシリツヒガシチュウガッコウサッカーブ</t>
  </si>
  <si>
    <t>YOSHIKAWA HIGASHI JUNIOR HIGH SCHOOL</t>
  </si>
  <si>
    <t>0211565</t>
  </si>
  <si>
    <t>吉川市立南中学校サッカー部</t>
  </si>
  <si>
    <t>ヨシカワシリツミナミチュウガッコウサッカーブ</t>
  </si>
  <si>
    <t>Yoshikawa Minami FC</t>
  </si>
  <si>
    <t>0211576</t>
  </si>
  <si>
    <t>熊谷市立大幡中学校</t>
  </si>
  <si>
    <t>クマガヤシリツオオハタチュウガッコウ</t>
  </si>
  <si>
    <t>kumagayasirituoohatachugaxtukou</t>
  </si>
  <si>
    <t>0211587</t>
  </si>
  <si>
    <t>深谷市立幡羅中学校</t>
  </si>
  <si>
    <t>フカヤシリツハタラチュウガッコウ</t>
  </si>
  <si>
    <t xml:space="preserve">hukayasiritu hataratyuugakkou </t>
  </si>
  <si>
    <t>0211611</t>
  </si>
  <si>
    <t>上柴中学校サッカー部</t>
  </si>
  <si>
    <t>カミシバチュウガッコウサッカーブ</t>
  </si>
  <si>
    <t>KAMISHIBA JUNIOR HIGH SCHOOL SOCCER CLUB</t>
  </si>
  <si>
    <t>0211633</t>
  </si>
  <si>
    <t>男衾中学校サッカー部</t>
  </si>
  <si>
    <t>オブスマチュウガッコウサッカーブ</t>
  </si>
  <si>
    <t>OBUSUMA JUNIOR HIGH SCHOOL FC</t>
  </si>
  <si>
    <t>0211688</t>
  </si>
  <si>
    <t>埼玉県深谷市立花園中学校サッカー部</t>
  </si>
  <si>
    <t>サイタマケンフカヤシリツハナゾノチュウガッコウサッカーブ</t>
  </si>
  <si>
    <t>hanazonoJHS FC</t>
  </si>
  <si>
    <t>0211699</t>
  </si>
  <si>
    <t>江南中学校サッカー部</t>
  </si>
  <si>
    <t>コウナンチュウガッコウサッカーブ</t>
  </si>
  <si>
    <t>kounan fc</t>
  </si>
  <si>
    <t>0211712</t>
  </si>
  <si>
    <t>深谷市立岡部中学校</t>
  </si>
  <si>
    <t>フカヤシリツオカベチュウガッコウ</t>
  </si>
  <si>
    <t>hukayasirituokabetyuugakkou</t>
  </si>
  <si>
    <t>0211723</t>
  </si>
  <si>
    <t>行田市立西中学校</t>
  </si>
  <si>
    <t>ギョウダシリツニシチュウガッコウ</t>
  </si>
  <si>
    <t>Gyoda nishi JHS</t>
  </si>
  <si>
    <t>0211745</t>
  </si>
  <si>
    <t>行田市立長野中学校</t>
  </si>
  <si>
    <t>ギョウダシリツナガノチュウガッコウ</t>
  </si>
  <si>
    <t>nagano school fc</t>
  </si>
  <si>
    <t>0211756</t>
  </si>
  <si>
    <t>加須市立昭和中学校</t>
  </si>
  <si>
    <t>カゾシリツショウワチュウガッコウ</t>
  </si>
  <si>
    <t>Showa JHS</t>
  </si>
  <si>
    <t>0211767</t>
  </si>
  <si>
    <t>加須市立加須西中学校</t>
  </si>
  <si>
    <t>カゾシリツカゾニシチュウガッコウ</t>
  </si>
  <si>
    <t>Kazo nishi junior high school</t>
  </si>
  <si>
    <t>0211778</t>
  </si>
  <si>
    <t>羽生市立西中学校</t>
  </si>
  <si>
    <t>ハニュウシリツニシチュウガッコウ</t>
  </si>
  <si>
    <t>HANYUNISHI JUNIOR HIGH SCHOOL</t>
  </si>
  <si>
    <t>0211790</t>
  </si>
  <si>
    <t>羽生市立東中学校</t>
  </si>
  <si>
    <t>ハニュウシリツヒガシチュウガッコウ</t>
  </si>
  <si>
    <t>Hanyu Higashi Football Club</t>
  </si>
  <si>
    <t>0211802</t>
  </si>
  <si>
    <t>加須市立騎西中学校</t>
  </si>
  <si>
    <t>カゾシリツキサイチュウガッコウ</t>
  </si>
  <si>
    <t>KAZO KISAI JUNIOR HIGH SCHOOL</t>
  </si>
  <si>
    <t>0211813</t>
  </si>
  <si>
    <t>春日部中学校サッカー部</t>
  </si>
  <si>
    <t>カスカベチュウガッコウサッカーブ</t>
  </si>
  <si>
    <t>Kasukabe junior high school soccer club</t>
  </si>
  <si>
    <t>0211868</t>
  </si>
  <si>
    <t>春日部市立東中学校</t>
  </si>
  <si>
    <t>カスカベシリツヒガシチュウガッコウ</t>
  </si>
  <si>
    <t>kasukabe higashi junior high school</t>
  </si>
  <si>
    <t>0211879</t>
  </si>
  <si>
    <t>春日部市立豊春中学校サッカー部</t>
  </si>
  <si>
    <t>カスカベシリツトヨハルチュウガッコウサッカーブ</t>
  </si>
  <si>
    <t>Toyoharu Junior High School FC</t>
  </si>
  <si>
    <t>0211880</t>
  </si>
  <si>
    <t>春日部市立武里中学校</t>
  </si>
  <si>
    <t>カスカベシリツタケサトチュウガッコウ</t>
  </si>
  <si>
    <t>kasukabe takesato jhs</t>
  </si>
  <si>
    <t>0211891</t>
  </si>
  <si>
    <t>春日部市立大沼中学校</t>
  </si>
  <si>
    <t>カスカベシリツオオヌマチュウガッコウ</t>
  </si>
  <si>
    <t>ohnuma junior high school</t>
  </si>
  <si>
    <t>0211914</t>
  </si>
  <si>
    <t>春日部市立豊野中学校</t>
  </si>
  <si>
    <t>カスカベシリツトヨノチュウガッコウ</t>
  </si>
  <si>
    <t>kasukabe toyono JHS FC</t>
  </si>
  <si>
    <t>0211925</t>
  </si>
  <si>
    <t>春日部市立緑中学校</t>
  </si>
  <si>
    <t>カスカベシリツミドリチュウガッコウ</t>
  </si>
  <si>
    <t>Midori jr high school</t>
  </si>
  <si>
    <t>0211947</t>
  </si>
  <si>
    <t>春日部市立大増中学校サッカー部</t>
  </si>
  <si>
    <t>カスカベシリツオオマシチュウガッコウサッカーブ</t>
  </si>
  <si>
    <t>0211958</t>
  </si>
  <si>
    <t>埼玉県さいたま市立岩槻中学校</t>
  </si>
  <si>
    <t>サイタマケンサイタマシリツイワツキチュウガッコウ</t>
  </si>
  <si>
    <t>IWATSUKI Jr HIGH SCHOOL</t>
  </si>
  <si>
    <t>0211969</t>
  </si>
  <si>
    <t>埼玉県さいたま市立城北中学校</t>
  </si>
  <si>
    <t>サイタマケンサイタマシリツジョウホクチュウガッコウ</t>
  </si>
  <si>
    <t>johokuchugakkou</t>
  </si>
  <si>
    <t>0211992</t>
  </si>
  <si>
    <t>さいたま市立桜山中学校サッカー部</t>
  </si>
  <si>
    <t>サイタマシリツサクラヤマチュウガッコウサッカーブ</t>
  </si>
  <si>
    <t>saitamashiritsusakurayamachugakkousakka-bu</t>
  </si>
  <si>
    <t>0212005</t>
  </si>
  <si>
    <t>さいたま市立柏陽中学校</t>
  </si>
  <si>
    <t>サイタマシリツハクヨウチュウガッコウ</t>
  </si>
  <si>
    <t>HAKUYOH JUNIOR HIGH SCHOOL</t>
  </si>
  <si>
    <t>0212016</t>
  </si>
  <si>
    <t>越谷市立中央中学校</t>
  </si>
  <si>
    <t>コシガヤシリツチュウオウチュウガッコウ</t>
  </si>
  <si>
    <t>koshigayashiritsuchuuouchuugakkou</t>
  </si>
  <si>
    <t>0212038</t>
  </si>
  <si>
    <t>和光市立第二中学校サッカー部</t>
  </si>
  <si>
    <t>ワコウシリツダイニチュウガッコウサッカーブ</t>
  </si>
  <si>
    <t>WAKO Second JUNIOR HIGH SCHOOL FC</t>
  </si>
  <si>
    <t>0212049</t>
  </si>
  <si>
    <t>和光市立第三中学校</t>
  </si>
  <si>
    <t>ワコウシリツダイサンチュウガッコウ</t>
  </si>
  <si>
    <t>WAKO3</t>
  </si>
  <si>
    <t>0212050</t>
  </si>
  <si>
    <t>狭山市立狭山台中学校</t>
  </si>
  <si>
    <t>サヤマシリツサヤマダイチュウガッコウ</t>
  </si>
  <si>
    <t>SAYAMADAI Jr HIGH SCHOOL</t>
  </si>
  <si>
    <t>0212083</t>
  </si>
  <si>
    <t>埼玉県狭山市立中央中学校</t>
  </si>
  <si>
    <t>サイタマケンサヤマシリツチュウオウチュウガッコウ</t>
  </si>
  <si>
    <t>SAYAMACHUUOU</t>
  </si>
  <si>
    <t>0212128</t>
  </si>
  <si>
    <t>入間市立武蔵中学校</t>
  </si>
  <si>
    <t>イルマシリツムサシチュウガッコウ</t>
  </si>
  <si>
    <t>0212151</t>
  </si>
  <si>
    <t>入間市立藤沢中学校</t>
  </si>
  <si>
    <t>イルマシリツフジサワチュウガッコウ</t>
  </si>
  <si>
    <t>irumasirituhujisawatyuugakkou</t>
  </si>
  <si>
    <t>0212162</t>
  </si>
  <si>
    <t>入間市立黒須中学校</t>
  </si>
  <si>
    <t>イルマシリツクロスチュウガッコウ</t>
  </si>
  <si>
    <t>IRUMASHIRITSU JUROSU JR HIGHSCHOOL</t>
  </si>
  <si>
    <t>0212184</t>
  </si>
  <si>
    <t>入間市立東金子中学校</t>
  </si>
  <si>
    <t>イルマシリツヒガシカネコチュウガッコウ</t>
  </si>
  <si>
    <t>HIGASHIKANEKO FC</t>
  </si>
  <si>
    <t>0212195</t>
  </si>
  <si>
    <t>入間市立上藤沢中学校</t>
  </si>
  <si>
    <t>イルマシリツカミフジサワチュウガッコウ</t>
  </si>
  <si>
    <t>kamifujisawa</t>
  </si>
  <si>
    <t>0212207</t>
  </si>
  <si>
    <t>埼玉県富士見市立富士見台中学校</t>
  </si>
  <si>
    <t>サイタマケンフジミシリツフジミダイチュウガッコウ</t>
  </si>
  <si>
    <t>Saitamaken Fujimishiritsu Fujimidai JHS</t>
  </si>
  <si>
    <t>0212230</t>
  </si>
  <si>
    <t>富士見市立本郷中学校</t>
  </si>
  <si>
    <t>フジミシリツホンゴウチュウガッコウ</t>
  </si>
  <si>
    <t>Fujimishiritsu Hongo Junior High School</t>
  </si>
  <si>
    <t>0212241</t>
  </si>
  <si>
    <t>富士見市立東中学校サッカー部</t>
  </si>
  <si>
    <t>フジミシリツヒガシチュウガッコウサッカーブ</t>
  </si>
  <si>
    <t>FUJIMI HIGASHI JUNIOR HIGH SCHOOL SOCCER CLUB</t>
  </si>
  <si>
    <t>0212252</t>
  </si>
  <si>
    <t>富士見市立勝瀬中サッカー部</t>
  </si>
  <si>
    <t>フジミシリツカツセチュウサッカーブ</t>
  </si>
  <si>
    <t>fujimisiritsukatsusetyugaltukousoccerbu</t>
  </si>
  <si>
    <t>0212263</t>
  </si>
  <si>
    <t>埼玉県富士見市立水谷中学校</t>
  </si>
  <si>
    <t>サイタマケンフジミシリツミズタニチュウガッコウ</t>
  </si>
  <si>
    <t>MIZUTANI JNIOR HIGH SCHOOL</t>
  </si>
  <si>
    <t>0212285</t>
  </si>
  <si>
    <t>住吉中学校サッカー部</t>
  </si>
  <si>
    <t>スミヨシチュウガッコウサッカーブ</t>
  </si>
  <si>
    <t>Sumiyoshi junior  high school fc</t>
  </si>
  <si>
    <t>0212331</t>
  </si>
  <si>
    <t>坂戸市立城山中学校</t>
  </si>
  <si>
    <t>サカドシリツシロヤマチュウガッコウ</t>
  </si>
  <si>
    <t>SIROYAMA JUNIOR HIGH SCHOOL</t>
  </si>
  <si>
    <t>0212353</t>
  </si>
  <si>
    <t>坂戸市立千代田中学校</t>
  </si>
  <si>
    <t>サカドシリツチヨダチュウガッコウ</t>
  </si>
  <si>
    <t>chiyoda junior high school</t>
  </si>
  <si>
    <t>0212364</t>
  </si>
  <si>
    <t>坂戸市立若宮中学校</t>
  </si>
  <si>
    <t>サカドシリツワカミヤチュウガッコウ</t>
  </si>
  <si>
    <t>SAKADO WAKAMIYA JR.HIGH SCHOOL</t>
  </si>
  <si>
    <t>0212386</t>
  </si>
  <si>
    <t>坂戸市立桜中学校サッカー部</t>
  </si>
  <si>
    <t>サカドシリツサクラチュウガッコウサッカーブ</t>
  </si>
  <si>
    <t>Sakura Junior High School</t>
  </si>
  <si>
    <t>0212397</t>
  </si>
  <si>
    <t>毛呂山町立毛呂山中学校</t>
  </si>
  <si>
    <t>モロヤマチョウリツモロヤマチュウガッコウ</t>
  </si>
  <si>
    <t>MOROYAMA JHS</t>
  </si>
  <si>
    <t>0212409</t>
  </si>
  <si>
    <t>武蔵台中学校</t>
  </si>
  <si>
    <t>ムサシダイチュウガッコウ</t>
  </si>
  <si>
    <t>musashidai jhs</t>
  </si>
  <si>
    <t>0212465</t>
  </si>
  <si>
    <t>鶴ヶ島市立鶴ヶ島中学校</t>
  </si>
  <si>
    <t>ツルガシマシリツツルガシマチュウガッコウ</t>
  </si>
  <si>
    <t>tsurugashimasiritsu tsurugasimatyuugakkou</t>
  </si>
  <si>
    <t>0212498</t>
  </si>
  <si>
    <t>鶴ケ島市立藤中学校</t>
  </si>
  <si>
    <t>ツルガシマシリツフジチュウガッコウ</t>
  </si>
  <si>
    <t>FUJI JHS FC</t>
  </si>
  <si>
    <t>0212500</t>
  </si>
  <si>
    <t>鶴ケ島市立南中学校</t>
  </si>
  <si>
    <t>ツルガシマシリツミナミチュウガッコウ</t>
  </si>
  <si>
    <t>tsurugashima minami junior high shool</t>
  </si>
  <si>
    <t>0212533</t>
  </si>
  <si>
    <t>東松山市立松山中学校サッカー部</t>
  </si>
  <si>
    <t>ヒガシマツヤマシリツマツヤマチュウガッコウサッカーブ</t>
  </si>
  <si>
    <t>MATSUYAMA JUNIOR HIGH SCHOOL FC</t>
  </si>
  <si>
    <t>0212544</t>
  </si>
  <si>
    <t>東松山市立南中学校サッカー部</t>
  </si>
  <si>
    <t>ヒガシマツヤマシリツミナミチュウガッコウサッカーブ</t>
  </si>
  <si>
    <t>minamisc</t>
  </si>
  <si>
    <t>0212555</t>
  </si>
  <si>
    <t>東松山市立東中学校サッカー部</t>
  </si>
  <si>
    <t>ヒガシマツヤマシリツヒガシチュウガッコウサッカーブ</t>
  </si>
  <si>
    <t>higasimatuyamahigasi jr high school fc</t>
  </si>
  <si>
    <t>0212566</t>
  </si>
  <si>
    <t>越谷東中学校サッカー部</t>
  </si>
  <si>
    <t>コシガヤヒガシチュウガッコウサッカーブ</t>
  </si>
  <si>
    <t>koshigayaeast j.highschool FC</t>
  </si>
  <si>
    <t>0212577</t>
  </si>
  <si>
    <t>越谷市立北中学校サッカー部</t>
  </si>
  <si>
    <t>コシガヤシリツキタチュウガッコウサッカーブ</t>
  </si>
  <si>
    <t>KOSHIGAYA KITA FC</t>
  </si>
  <si>
    <t>0212588</t>
  </si>
  <si>
    <t>越谷北陽中サッカー部</t>
  </si>
  <si>
    <t>コシガヤホクヨウチュウサッカーブ</t>
  </si>
  <si>
    <t>KOSHIGAYA HOKUYO SOCCER CLUB</t>
  </si>
  <si>
    <t>0212599</t>
  </si>
  <si>
    <t>越谷市立栄進中学校</t>
  </si>
  <si>
    <t>コシガヤシリツエイシンチュウガッコウ</t>
  </si>
  <si>
    <t>koshigaya eishin junior high school</t>
  </si>
  <si>
    <t>0212601</t>
  </si>
  <si>
    <t>埼玉県越谷市立光陽中学校</t>
  </si>
  <si>
    <t>サイタマケンコシガヤシリツコウヨウチュウガッコウ</t>
  </si>
  <si>
    <t>KOYO JUNIOR HIGH SCHOOL FC</t>
  </si>
  <si>
    <t>0212612</t>
  </si>
  <si>
    <t>越谷市立平方中学校</t>
  </si>
  <si>
    <t>コシガヤシリツヒラカタチュウガッコウ</t>
  </si>
  <si>
    <t>hirakata junior high school fc</t>
  </si>
  <si>
    <t>0212623</t>
  </si>
  <si>
    <t>ＦＣ羽生ＢＯＹＳ</t>
  </si>
  <si>
    <t>エフシーハニュウボーイズ</t>
  </si>
  <si>
    <t>fchanyuboys</t>
  </si>
  <si>
    <t>行田泉サッカースポーツ少年団</t>
  </si>
  <si>
    <t>ギョウダイズミサッカースポーツショウネンダン</t>
  </si>
  <si>
    <t>gyodaizumi sss</t>
  </si>
  <si>
    <t>行田ＳＣスポーツ少年団</t>
  </si>
  <si>
    <t>ギョウダエスシースポーツショウネンダン</t>
  </si>
  <si>
    <t>gyoda sc</t>
  </si>
  <si>
    <t>中央キャッスルキッズフットボールクラブ</t>
  </si>
  <si>
    <t>チュウオウキャッスルキッズフットボールクラブ</t>
  </si>
  <si>
    <t>CHUOCASTLEKIDS</t>
  </si>
  <si>
    <t>行田サウスフェニックスサッカースポーツ少年団</t>
  </si>
  <si>
    <t>ギョウダサウスフェニックスサッカースポーツショウネンダン</t>
  </si>
  <si>
    <t>gyodasouthphoenixsoccersportsshonendan</t>
  </si>
  <si>
    <t>KAWASATO SC</t>
  </si>
  <si>
    <t>両新田フットボールクラブ</t>
  </si>
  <si>
    <t>リョウシンデンフットボールクラブ</t>
  </si>
  <si>
    <t>Ryoshinden football club</t>
  </si>
  <si>
    <t>新田フットボールクラブ</t>
  </si>
  <si>
    <t>シンデンフットボールクラブ</t>
  </si>
  <si>
    <t>shinden football club</t>
  </si>
  <si>
    <t>瀬崎サッカースポーツ少年団</t>
  </si>
  <si>
    <t>セザキサッカースポーツショウネンダン</t>
  </si>
  <si>
    <t>SEZAKI SSS</t>
  </si>
  <si>
    <t>草加東サッカースポーツ少年団</t>
  </si>
  <si>
    <t>ソウカヒガシサッカースポーツショウネンダン</t>
  </si>
  <si>
    <t>soka higashi sc</t>
  </si>
  <si>
    <t>草加住吉サッカークラブ</t>
  </si>
  <si>
    <t>ソウカスミヨシサッカークラブ</t>
  </si>
  <si>
    <t>Soka Sumiyoshi Soccer Club</t>
  </si>
  <si>
    <t>ＦＣひまわり</t>
  </si>
  <si>
    <t>エフシーヒマワリ</t>
  </si>
  <si>
    <t>fchimawari</t>
  </si>
  <si>
    <t>高砂イレブンフットボールクラブ</t>
  </si>
  <si>
    <t>タカサゴイレブンフットボールクラブ</t>
  </si>
  <si>
    <t>takasago eleven Football club</t>
  </si>
  <si>
    <t>西町フットボールクラブ</t>
  </si>
  <si>
    <t>ニシチョウフットボールクラブ</t>
  </si>
  <si>
    <t>NISHICHO FOOTBALL CLUB</t>
  </si>
  <si>
    <t>松原フットボールクラブ</t>
  </si>
  <si>
    <t>マツバラフットボールクラブ</t>
  </si>
  <si>
    <t>Matsubarafootballclub</t>
  </si>
  <si>
    <t>ＦＣパルセイロ毛呂山レディース</t>
  </si>
  <si>
    <t>エフシーパルセイロモロヤマレディース</t>
  </si>
  <si>
    <t>fcparseiromoroyamaladies</t>
  </si>
  <si>
    <t>宮原サッカーガールズ</t>
  </si>
  <si>
    <t>ミヤハラサッカーガールズ</t>
  </si>
  <si>
    <t>Miyahara Soccer Girls</t>
  </si>
  <si>
    <t>寄居女子サッカークラブ</t>
  </si>
  <si>
    <t>ヨリイジョシサッカークラブ</t>
  </si>
  <si>
    <t>Yorii girls soccer</t>
  </si>
  <si>
    <t>吉川Ｌキッカーズ</t>
  </si>
  <si>
    <t>ヨシカワエルキッカーズ</t>
  </si>
  <si>
    <t>Yoshikawa L kickers</t>
  </si>
  <si>
    <t>戸田サッカークラブ</t>
  </si>
  <si>
    <t>トダサッカークラブ</t>
  </si>
  <si>
    <t>toda soccer club</t>
  </si>
  <si>
    <t>ＦＣｅｌｆ</t>
  </si>
  <si>
    <t>エフシーエルフ</t>
  </si>
  <si>
    <t>FCelf</t>
  </si>
  <si>
    <t>久喜エブリデイ</t>
  </si>
  <si>
    <t>クキエブリデイ</t>
  </si>
  <si>
    <t>kuki everyday</t>
  </si>
  <si>
    <t>Ｋ・Ｍ・Ｆ・ＷＩＮＦＥＥＬＳ</t>
  </si>
  <si>
    <t>ケーエムエフウィンフィールズ</t>
  </si>
  <si>
    <t>kmfwinfeels</t>
  </si>
  <si>
    <t>Ｄｒｏｐ　Ｏｕｔ　ＦＣ</t>
  </si>
  <si>
    <t>ドロップアウトエフシー</t>
  </si>
  <si>
    <t>Drop Out FC</t>
  </si>
  <si>
    <t>児玉町サッカークラブ</t>
  </si>
  <si>
    <t>コダママチサッカークラブ</t>
  </si>
  <si>
    <t>kodama-machi soccer club</t>
  </si>
  <si>
    <t>駿河台大学サッカー部</t>
  </si>
  <si>
    <t>スルガダイダイガクサッカーブ</t>
  </si>
  <si>
    <t>surugadaidaigakusakka-bu</t>
  </si>
  <si>
    <t>城西大学体育会サッカー部</t>
  </si>
  <si>
    <t>ジョウサイダイガクタイイクカイサッカーブ</t>
  </si>
  <si>
    <t>Josai University</t>
  </si>
  <si>
    <t>埼玉大学サッカー部</t>
  </si>
  <si>
    <t>サイタマダイガクサッカーブ</t>
  </si>
  <si>
    <t>saitamadaigakusakka-bu</t>
  </si>
  <si>
    <t>文教大学体育会サッカー部</t>
  </si>
  <si>
    <t>ブンキョウダイガクタイイクカイサッカーブ</t>
  </si>
  <si>
    <t>bunkyodaigakutaiikukaisakkabu</t>
  </si>
  <si>
    <t>東京国際大学体育会サッカー部</t>
  </si>
  <si>
    <t>トウキョウコクサイダイガクタイイクカイサッカーブ</t>
  </si>
  <si>
    <t>Tokyo International University Soccer Club</t>
  </si>
  <si>
    <t>東洋大学川越体育会サッカー部</t>
  </si>
  <si>
    <t>トウヨウダイガクカワゴエタイイクカイサッカーブ</t>
  </si>
  <si>
    <t>toyodaigakukawagoetaiikukaisakka-bu</t>
  </si>
  <si>
    <t>芝浦工業大学体育会サッカー部</t>
  </si>
  <si>
    <t>シバウラコウギョウダイガクタイイクカイサッカーブ</t>
  </si>
  <si>
    <t>shibaurakougyoudaigakutaiikukaisakka-bu</t>
  </si>
  <si>
    <t>女子</t>
  </si>
  <si>
    <t>一般</t>
  </si>
  <si>
    <t>大学</t>
  </si>
  <si>
    <t>武蔵丘短期大学シエンシア</t>
  </si>
  <si>
    <t>ムサシガオカタンキダイガクシエンシア</t>
  </si>
  <si>
    <t>Musashigaoka College CIENCIA</t>
  </si>
  <si>
    <t>高校</t>
  </si>
  <si>
    <t>埼玉県立松山女子高等学校</t>
  </si>
  <si>
    <t>サイタマケンリツマツヤマジョシコウトウガッコウ</t>
  </si>
  <si>
    <t>Saitama Matsuyama girls high</t>
  </si>
  <si>
    <t>埼玉県立入間向陽高等学校女子サッカー部</t>
  </si>
  <si>
    <t>サイタマケンリツイルマコウヨウコウトウガッコウジョシサッカーブ</t>
  </si>
  <si>
    <t>saitamakenrituirumakouyoukoutougakou</t>
  </si>
  <si>
    <t>埼玉県立庄和高等学校女子サッカー部</t>
  </si>
  <si>
    <t>サイタマケンリツショウワコウトウガッコウジョシサッカーブ</t>
  </si>
  <si>
    <t>Showa High School Girls Football Club</t>
  </si>
  <si>
    <t>本庄第一高等学校女子サッカー部</t>
  </si>
  <si>
    <t>ホンジョウダイイチコウトウガッコウジョシサッカーブ</t>
  </si>
  <si>
    <t>Honjo Daiichi High School Girls' Soccer Club</t>
  </si>
  <si>
    <t>埼玉平成高等学校女子サッカー部</t>
  </si>
  <si>
    <t>サイタマヘイセイコウトウガッコウジョシサッカーブ</t>
  </si>
  <si>
    <t>saitamaheisei girls soccer team</t>
  </si>
  <si>
    <t>山村学園高等学校女子サッカー部</t>
  </si>
  <si>
    <t>ヤマムラガクエンコウトウガッコウジョシサッカーブ</t>
  </si>
  <si>
    <t>yamamuragakuennkoutougakkoujosisakka-bu</t>
  </si>
  <si>
    <t>埼玉栄高等学校女子サッカー部</t>
  </si>
  <si>
    <t>サイタマサカエコウトウガッコウジョシサッカーブ</t>
  </si>
  <si>
    <t>Saitama Sakae High School Girls Soccer Club</t>
  </si>
  <si>
    <t>埼玉県立熊谷女子高等学校</t>
  </si>
  <si>
    <t>サイタマケンリツクマガヤジョシコウトウガッコウ</t>
  </si>
  <si>
    <t>kumagaya girls' upper secondary school</t>
  </si>
  <si>
    <t>県立大宮南高校</t>
  </si>
  <si>
    <t>オオミヤミナミコウコウ</t>
  </si>
  <si>
    <t xml:space="preserve">Ohmiyaminamikouko </t>
  </si>
  <si>
    <t>大宮開成高等学校女子サッカー部</t>
  </si>
  <si>
    <t>オオミヤカイセイコウトウガッコウジョシサッカーブ</t>
  </si>
  <si>
    <t>oomiyakaiseikoutougakkoujyoshisakka-bu</t>
  </si>
  <si>
    <t>クラブ（中学生）</t>
  </si>
  <si>
    <t>ＧＲＡＭＡＤＯ　ＦＣ　ＴＯＫＩＮＡＮ</t>
  </si>
  <si>
    <t>グラマードフットボールクラブトキナン</t>
  </si>
  <si>
    <t>GRAMADO FOOTBALLCLUB TOKINAN</t>
  </si>
  <si>
    <t>ＳＣ和光ベレーザ</t>
  </si>
  <si>
    <t>エスシーワコウベレーザ</t>
  </si>
  <si>
    <t>scwakoubele-za</t>
  </si>
  <si>
    <t>Ｆｕｔｅｂｏｌ　Ｃｌｕｂｅ　ｄｏ　ＰＡＲＣＥＩＲＯ　Ｊｒ</t>
  </si>
  <si>
    <t>フッチボウルクルブドゥパルセイロジュニア</t>
  </si>
  <si>
    <t>futebol clube do parceiro jr</t>
  </si>
  <si>
    <t>藤久保イエローイーグルス</t>
  </si>
  <si>
    <t>フジクボイエローイーグルス</t>
  </si>
  <si>
    <t>FUJIKUBOYE</t>
  </si>
  <si>
    <t>ＪＦＣ三芳</t>
  </si>
  <si>
    <t>ジェイエフシーミヨシ</t>
  </si>
  <si>
    <t>jfcmiyoshi</t>
  </si>
  <si>
    <t>勝呂ＦＣ</t>
  </si>
  <si>
    <t>スグロエフシー</t>
  </si>
  <si>
    <t>SUGURO FC</t>
  </si>
  <si>
    <t>浅羽野サッカースポーツ少年団</t>
  </si>
  <si>
    <t>アサバノサッカースポーツショウネンダン</t>
  </si>
  <si>
    <t>Asabano soccer sports syounendan</t>
  </si>
  <si>
    <t>北坂戸サッカークラブ</t>
  </si>
  <si>
    <t>キタサカドサッカークラブ</t>
  </si>
  <si>
    <t>KITASAKADO SOCCER CLUB</t>
  </si>
  <si>
    <t>坂戸ＦＣ</t>
  </si>
  <si>
    <t>sakado fc</t>
  </si>
  <si>
    <t>ＦＣ片柳</t>
  </si>
  <si>
    <t>エフシーカタヤナギ</t>
  </si>
  <si>
    <t>FC Katayanagi</t>
  </si>
  <si>
    <t>にっさいＦＣ</t>
  </si>
  <si>
    <t>ニッサイフットボールクラブ</t>
  </si>
  <si>
    <t>nissaifc</t>
  </si>
  <si>
    <t>カムイジュニア千代田</t>
  </si>
  <si>
    <t>カムイジュニアチヨダ</t>
  </si>
  <si>
    <t>KAMUI Jr CHIYODA</t>
  </si>
  <si>
    <t>大井少年サッカークラブ</t>
  </si>
  <si>
    <t>オオイショウネンサッカークラブ</t>
  </si>
  <si>
    <t>OHI FC</t>
  </si>
  <si>
    <t>旭サッカースポーツ少年団</t>
  </si>
  <si>
    <t>アサヒサッカースポーツショウネンダン</t>
  </si>
  <si>
    <t>asahisss</t>
  </si>
  <si>
    <t>若狭サッカースポーツ少年団</t>
  </si>
  <si>
    <t>ワカササッカースポーツショウネンダン</t>
  </si>
  <si>
    <t>wakasa soccer sport syounendan</t>
  </si>
  <si>
    <t>北野サッカークラブ</t>
  </si>
  <si>
    <t>キタノサッカークラブ</t>
  </si>
  <si>
    <t>kitanosoccerclub</t>
  </si>
  <si>
    <t>三ケ島フットボールクラブ</t>
  </si>
  <si>
    <t>ミカジマフットボールクラブ</t>
  </si>
  <si>
    <t>mikajimafootballclub</t>
  </si>
  <si>
    <t>若松キッカーズスポーツ少年団</t>
  </si>
  <si>
    <t>ワカマツキッカーズスポーツショウネンダン</t>
  </si>
  <si>
    <t>WakamatuKickers SportsShounendan</t>
  </si>
  <si>
    <t>西富サッカークラブ</t>
  </si>
  <si>
    <t>ニシトミサッカークラブ</t>
  </si>
  <si>
    <t>nishitomi soccer club</t>
  </si>
  <si>
    <t>宮前サッカークラブ</t>
  </si>
  <si>
    <t>ミヤマエサッカークラブ</t>
  </si>
  <si>
    <t>miyamae soccer cluob</t>
  </si>
  <si>
    <t>南ファイターズサッカー団</t>
  </si>
  <si>
    <t>ミナミファイターズサッカーダン</t>
  </si>
  <si>
    <t>所沢サッカークラブジュニア</t>
  </si>
  <si>
    <t>トコロザワサッカークラブジュニア</t>
  </si>
  <si>
    <t>TOKOROZAWA SOCCER CLUB Junior</t>
  </si>
  <si>
    <t>安松フットボールクラブ</t>
  </si>
  <si>
    <t>ヤスマツフットボールクラブ</t>
  </si>
  <si>
    <t>yasumatu football club</t>
  </si>
  <si>
    <t>上新井サッカー少年団</t>
  </si>
  <si>
    <t>カミアライサッカーショウネンダン</t>
  </si>
  <si>
    <t>Football Club Kamiarai</t>
  </si>
  <si>
    <t>清進サッカークラブ</t>
  </si>
  <si>
    <t>セイシンサッカークラブ</t>
  </si>
  <si>
    <t>seishin soccer club</t>
  </si>
  <si>
    <t>武蔵野イレブンサッカークラブ</t>
  </si>
  <si>
    <t>ムサシノイレブンサッカークラブ</t>
  </si>
  <si>
    <t xml:space="preserve">musashino eleven </t>
  </si>
  <si>
    <t>小手指サッカースポーツ少年団</t>
  </si>
  <si>
    <t>コテサシサッカースポーツショウネンダン</t>
  </si>
  <si>
    <t>kotesashi.sss</t>
  </si>
  <si>
    <t>山口サントスサッカークラブ</t>
  </si>
  <si>
    <t>ヤマグチサントスサッカークラブ</t>
  </si>
  <si>
    <t>YAMAGUCHI SANTOS SOCCER CLUB</t>
  </si>
  <si>
    <t>北秋津すばるＦＣスポーツ少年団</t>
  </si>
  <si>
    <t>キタアキツスバルエフシースポーツショウネンダン</t>
  </si>
  <si>
    <t>KITAAKITSUSUBARUFC</t>
  </si>
  <si>
    <t>並木ロビンズ・サッカークラブ</t>
  </si>
  <si>
    <t>ナミキロビンズサッカークラブ</t>
  </si>
  <si>
    <t>Namikirobinzu SC</t>
  </si>
  <si>
    <t>狭山アゼィリアＦＣ</t>
  </si>
  <si>
    <t>サヤマアゼィリアエフシー</t>
  </si>
  <si>
    <t>Sayama Azalea FC</t>
  </si>
  <si>
    <t>狭山台イレブンサッカークラブ</t>
  </si>
  <si>
    <t>サヤマダイイレブンサッカークラブ</t>
  </si>
  <si>
    <t>狭山台グリーンサッカークラブ</t>
  </si>
  <si>
    <t>サヤマダイグリーンサッカークラブ</t>
  </si>
  <si>
    <t>sayamadai greensoccerclub</t>
  </si>
  <si>
    <t>狭山台キッカーズ</t>
  </si>
  <si>
    <t>サヤマダイキッカーズ</t>
  </si>
  <si>
    <t>sayamadai kickers</t>
  </si>
  <si>
    <t>チャレンジサッカークラブ</t>
  </si>
  <si>
    <t>Challenge Soccer Club</t>
  </si>
  <si>
    <t>富士見ＦＣ</t>
  </si>
  <si>
    <t>フジミエフシイ</t>
  </si>
  <si>
    <t>FUJIMI FC</t>
  </si>
  <si>
    <t>レアル狭山Ｊｒ．</t>
  </si>
  <si>
    <t>レアルサヤマジュニア</t>
  </si>
  <si>
    <t>REALSAYAMAJUNIOR</t>
  </si>
  <si>
    <t>扇フットボールクラブスポーツ少年団</t>
  </si>
  <si>
    <t>オウギフットボールクラブスポーツショウネンダン</t>
  </si>
  <si>
    <t>ougifc</t>
  </si>
  <si>
    <t>仏子ブラックスサッカースポーツ少年団</t>
  </si>
  <si>
    <t>ブシブラックスサッカースポーツショウネンダン</t>
  </si>
  <si>
    <t>bushi blacks soccer  sport shiyounendan</t>
  </si>
  <si>
    <t>入間少年少女サッカースポーツ少年団</t>
  </si>
  <si>
    <t>イルマショウネンショウジョサッカースポーツショウネンダン</t>
  </si>
  <si>
    <t>iruma boys&amp;girls sc</t>
  </si>
  <si>
    <t>西武ウィングスサッカークラブスポーツ少年団</t>
  </si>
  <si>
    <t>セイブウィングスサッカークラブスポーツショウネンダン</t>
  </si>
  <si>
    <t>SEIBU WINGS SOCCER CLUB</t>
  </si>
  <si>
    <t>入間・高倉イレブンサッカースポーツ少年団</t>
  </si>
  <si>
    <t>イルマタカクライレブンサッカースポーツショウネンダン</t>
  </si>
  <si>
    <t>irumatakakuraelevensoccerthesportsboyscouts</t>
  </si>
  <si>
    <t>金子ＦＣジュニア</t>
  </si>
  <si>
    <t>カネコエフシージュニア</t>
  </si>
  <si>
    <t>kanekofcjyunia</t>
  </si>
  <si>
    <t>加治ＦＯＬＴＥＳ</t>
  </si>
  <si>
    <t>カジフォルテス</t>
  </si>
  <si>
    <t>kajifoltes</t>
  </si>
  <si>
    <t>飯能ブルーダージュニア</t>
  </si>
  <si>
    <t>ハンノウブルーダージュニア</t>
  </si>
  <si>
    <t>HANNO BRUDER JUNIOR</t>
  </si>
  <si>
    <t>飯能ジュニアサッカースポーツ少年団</t>
  </si>
  <si>
    <t>ハンノウジュニアサッカースポーツショウネンダン</t>
  </si>
  <si>
    <t>Hannou Junior Soccer Club</t>
  </si>
  <si>
    <t>勝瀬ふじみ野サッカークラブ</t>
  </si>
  <si>
    <t>カツセフジミノサッカークラブ</t>
  </si>
  <si>
    <t>KatsuseFujiminoSoccerClub</t>
  </si>
  <si>
    <t>みずほ台ジュニアサッカークラブ</t>
  </si>
  <si>
    <t>ミズホダイジュニアサッカークラブ</t>
  </si>
  <si>
    <t>mizuhodaijuniorsoccerclub</t>
  </si>
  <si>
    <t>武蔵野ＦＣ</t>
  </si>
  <si>
    <t>ムサシノエフシー</t>
  </si>
  <si>
    <t>musashino fc</t>
  </si>
  <si>
    <t>松山サッカー少年団</t>
  </si>
  <si>
    <t>マツヤマサッカーショウネンダン</t>
  </si>
  <si>
    <t>MATSUYAMA SS</t>
  </si>
  <si>
    <t>東松山北サッカースポーツ少年団</t>
  </si>
  <si>
    <t>ヒガシマツヤマキタサッカースポーツショウネンダン</t>
  </si>
  <si>
    <t>Higashimatsuyamakita</t>
  </si>
  <si>
    <t>東松山東フットボールクラブ</t>
  </si>
  <si>
    <t>ヒガシマツヤマヒガシフットボールクラブ</t>
  </si>
  <si>
    <t>HIGASHIMATSUYAMAHIGASHI FC</t>
  </si>
  <si>
    <t>東松山南サッカースポーツ少年団</t>
  </si>
  <si>
    <t>ヒガシマツヤマミナミサッカースポーツショウネンダン</t>
  </si>
  <si>
    <t>HIGASHIMATUYAMAMINAMISSS</t>
  </si>
  <si>
    <t>ＦＣなめがわサッカースポーツ少年団</t>
  </si>
  <si>
    <t>エフシーナメガワサッカースポーツショウネンダン</t>
  </si>
  <si>
    <t>FCNAMEGAWA</t>
  </si>
  <si>
    <t>秩父大田サッカースポーツ少年団</t>
  </si>
  <si>
    <t>チチブオオタサッカースポーツショウネンダン</t>
  </si>
  <si>
    <t>chichibuotasoccersportssyounenndan</t>
  </si>
  <si>
    <t>秩父第一サッカースポーツ少年団</t>
  </si>
  <si>
    <t>チチブダイイチサッカースポーツショウネンダン</t>
  </si>
  <si>
    <t>CHICHIBUDAIICHI SSS</t>
  </si>
  <si>
    <t>ＦＣ影森</t>
  </si>
  <si>
    <t>フットボールクラブカゲモリ</t>
  </si>
  <si>
    <t>FOOTBALL CLUB KAGEMORI</t>
  </si>
  <si>
    <t>久那スポーツ少年団</t>
  </si>
  <si>
    <t>クナスポーツショウネンダン</t>
  </si>
  <si>
    <t xml:space="preserve">kuna sports Boy Scouts </t>
  </si>
  <si>
    <t>Ｊ．Ｆ．Ｃ．尾田蒔スポーツ少年団</t>
  </si>
  <si>
    <t>ジェイエフシーオダマキスポーツショウネンダン</t>
  </si>
  <si>
    <t>J.F.C.ODAMAKI</t>
  </si>
  <si>
    <t>ＦＣ原谷スポーツ少年団</t>
  </si>
  <si>
    <t>エフシーハラヤスポーツショウネンダン</t>
  </si>
  <si>
    <t>FCHARAYASPORTSSYOUNENDAN</t>
  </si>
  <si>
    <t>秩父西ジュニアフットボールクラブ</t>
  </si>
  <si>
    <t>チチブニシジュニアフットボールクラブ</t>
  </si>
  <si>
    <t>chichibunishijfc</t>
  </si>
  <si>
    <t>高篠サッカースポーツ少年団</t>
  </si>
  <si>
    <t>タカシノサッカースポーツショウネンダン</t>
  </si>
  <si>
    <t>TAKASHINO SSS</t>
  </si>
  <si>
    <t>吉田フットボールクラブ</t>
  </si>
  <si>
    <t>ヨシダフットボールクラブ</t>
  </si>
  <si>
    <t>YOSHIDAFC</t>
  </si>
  <si>
    <t>皆野サッカー少年団</t>
  </si>
  <si>
    <t>ミナノサッカーショウネンダン</t>
  </si>
  <si>
    <t>minano</t>
  </si>
  <si>
    <t>横瀬サッカースポーツ少年団</t>
  </si>
  <si>
    <t>ヨコゼサッカースポーツショウネンダン</t>
  </si>
  <si>
    <t>yokozesakka-supo-tsushounendan</t>
  </si>
  <si>
    <t>小鹿野町サッカースポーツ少年団</t>
  </si>
  <si>
    <t>オガノマチサッカースポーツショウネンダン</t>
  </si>
  <si>
    <t>oganomathi</t>
  </si>
  <si>
    <t>児玉ディパーチャＦＣスポーツ少年団</t>
  </si>
  <si>
    <t>コダマディパーチャエフシースポーツショウネンダン</t>
  </si>
  <si>
    <t>Kodama Departure FC</t>
  </si>
  <si>
    <t>美里ＦＣスポーツ少年団</t>
  </si>
  <si>
    <t>ミサトエフシースポーツショウネンダン</t>
  </si>
  <si>
    <t>misatofc</t>
  </si>
  <si>
    <t>上里ＦＣ</t>
  </si>
  <si>
    <t>カミサトエフシー</t>
  </si>
  <si>
    <t>kamisatofc</t>
  </si>
  <si>
    <t>北泉サッカースポーツ少年団</t>
  </si>
  <si>
    <t>キタイズミサッカースポーツショウネンダン</t>
  </si>
  <si>
    <t>Kitaizumi sss</t>
  </si>
  <si>
    <t>本庄南少年サッカークラブ</t>
  </si>
  <si>
    <t>ホンジョウミナミショウネンサッカークラブ</t>
  </si>
  <si>
    <t>honjyouminamisyounenSC</t>
  </si>
  <si>
    <t>本庄サッカー少年団ホッパーズ</t>
  </si>
  <si>
    <t>ホンジョウサッカーショウネンダンホッパーズ</t>
  </si>
  <si>
    <t>HONJO SOCCER SHONENDAN HOPPERS</t>
  </si>
  <si>
    <t>本庄中央サッカークラブ</t>
  </si>
  <si>
    <t>ホンジョウチュウオウサッカークラブ</t>
  </si>
  <si>
    <t>Honjochiuousoccerclub</t>
  </si>
  <si>
    <t>深谷藤沢サッカースポーツ少年団</t>
  </si>
  <si>
    <t>フカヤフジサワサッカースポーツショウネンダン</t>
  </si>
  <si>
    <t>常盤サッカースポーツ少年団</t>
  </si>
  <si>
    <t>トキワサッカースポーツショウネンダン</t>
  </si>
  <si>
    <t>tokiwasuccersuportsshounendan</t>
  </si>
  <si>
    <t>豊里スポーツ少年団</t>
  </si>
  <si>
    <t>トヨサトスポーツショウネンダン</t>
  </si>
  <si>
    <t>TOYOSATO JUNIOR SPORTS CLUB</t>
  </si>
  <si>
    <t>深谷明戸サッカースポーツ少年団</t>
  </si>
  <si>
    <t>フカヤアケトサッカースポーツショウネンダン</t>
  </si>
  <si>
    <t>fukayaaketosoccer</t>
  </si>
  <si>
    <t>深谷西サッカースポーツ少年団</t>
  </si>
  <si>
    <t>フカヤニシサッカースポーツショウネンダン</t>
  </si>
  <si>
    <t xml:space="preserve">fukayanisi soccer junior sports club association </t>
  </si>
  <si>
    <t>深谷サッカースポーツ少年団</t>
  </si>
  <si>
    <t>フカヤサッカースポーツショウネンダン</t>
  </si>
  <si>
    <t>Fukaya SSS</t>
  </si>
  <si>
    <t>寄居フットボールクラブ</t>
  </si>
  <si>
    <t>ヨリイフットボールクラブ</t>
  </si>
  <si>
    <t>YORII FOOTBALL CLUB</t>
  </si>
  <si>
    <t>男衾サッカークラブ</t>
  </si>
  <si>
    <t>オブスマサッカークラブ</t>
  </si>
  <si>
    <t>obusumasc</t>
  </si>
  <si>
    <t>江南南サッカー少年団</t>
  </si>
  <si>
    <t>コウナンミナミサッカーショウネンダン</t>
  </si>
  <si>
    <t>kounanminamisoccersyounendan</t>
  </si>
  <si>
    <t>熊谷ＦＣ・大里</t>
  </si>
  <si>
    <t>クカガヤエフシーオオサト</t>
  </si>
  <si>
    <t>KUMAGAYAFCOHSATO</t>
  </si>
  <si>
    <t>岡部本郷サッカークラブ</t>
  </si>
  <si>
    <t>オカベホンゴウサッカークラブ</t>
  </si>
  <si>
    <t>okabe hongo soccer club</t>
  </si>
  <si>
    <t>エフシーチベッタフカヤ</t>
  </si>
  <si>
    <t>FC CIVETTAFUKAYA</t>
  </si>
  <si>
    <t>熊谷東サッカースポーツ少年団</t>
  </si>
  <si>
    <t>クマガヤヒガシサッカースポーツショウネンダン</t>
  </si>
  <si>
    <t>kumagayahigashi.s.s.s</t>
  </si>
  <si>
    <t>熊谷さくらスポーツ少年団</t>
  </si>
  <si>
    <t>クマガヤサクラスポーツショウネンダン</t>
  </si>
  <si>
    <t>KUMAGAYA SAKURA Junior Sports Club</t>
  </si>
  <si>
    <t>熊谷南フットボールクラブ</t>
  </si>
  <si>
    <t>クマガヤミナミフットボールクラブ</t>
  </si>
  <si>
    <t>KUMAGAYA MinaMi Football Club</t>
  </si>
  <si>
    <t>大幡サッカースポーツ少年団</t>
  </si>
  <si>
    <t>オオハタサッカースポーツショウネンダン</t>
  </si>
  <si>
    <t>ohhatasoccer</t>
  </si>
  <si>
    <t>熊谷西スポーツ少年団</t>
  </si>
  <si>
    <t>クマガヤニシスポーツショウネンダン</t>
  </si>
  <si>
    <t>籠原スポーツ少年団</t>
  </si>
  <si>
    <t>カゴハラスポーツショウネンダン</t>
  </si>
  <si>
    <t>kagoharasupootsusyounendan</t>
  </si>
  <si>
    <t>大芦少年サッカークラブ</t>
  </si>
  <si>
    <t>オオアシショウネンサッカークラブ</t>
  </si>
  <si>
    <t>OASHI JUNIOR SOCCER CLUB</t>
  </si>
  <si>
    <t>下忍少年サッカークラブ</t>
  </si>
  <si>
    <t>シモオシショウネンサッカークラブ</t>
  </si>
  <si>
    <t>shimoosi</t>
  </si>
  <si>
    <t>ちふれＡＳエルフェン埼玉</t>
  </si>
  <si>
    <t>チフレエーエスエルフェンサイタマ</t>
  </si>
  <si>
    <t xml:space="preserve">chifure as elfen saitama </t>
  </si>
  <si>
    <t>嵐山町サッカースポーツ少年団</t>
  </si>
  <si>
    <t>ランザンマチサッカースポーツショウネンダン</t>
  </si>
  <si>
    <t>RANZAN SOCCER JUNIOR SPORTS CLUB</t>
  </si>
  <si>
    <t>三保谷パイレーツサッカー少年団</t>
  </si>
  <si>
    <t>ミホヤパイレーツサッカーショウネンダン</t>
  </si>
  <si>
    <t>mihoya</t>
  </si>
  <si>
    <t>中山サッカースポーツ少年団　</t>
  </si>
  <si>
    <t>ナカヤマサッカースポーツショウネンダン　</t>
  </si>
  <si>
    <t xml:space="preserve">NAKAYAMA SAKKA SUPOTSU SHONENDAN </t>
  </si>
  <si>
    <t>亀井サッカースポーツ少年団</t>
  </si>
  <si>
    <t>カメイサッカースポーツショウネンダン</t>
  </si>
  <si>
    <t>KAMEI</t>
  </si>
  <si>
    <t>大増サンライズフットボールクラブ</t>
  </si>
  <si>
    <t>オオマシサンライズフットボールクラブ</t>
  </si>
  <si>
    <t>ohmashi sunrise footballclub</t>
  </si>
  <si>
    <t>粕壁サッカー少年団</t>
  </si>
  <si>
    <t>カスカベサッカーショウネンダン</t>
  </si>
  <si>
    <t>kasukabe soccer syowunenndan</t>
  </si>
  <si>
    <t>上沖サッカークラブ</t>
  </si>
  <si>
    <t>カミオキサッカークラブ</t>
  </si>
  <si>
    <t>KAMIOKI Soccer Club</t>
  </si>
  <si>
    <t>大畑サッカー少年団</t>
  </si>
  <si>
    <t>オオハタサッカーショウネンダン</t>
  </si>
  <si>
    <t>ohuhata</t>
  </si>
  <si>
    <t>春日部幸松ジュニアフットボールクラブ</t>
  </si>
  <si>
    <t>カスカベコウマツジュニアフットボールクラブ</t>
  </si>
  <si>
    <t>Kasukabe Kohmatsu Junior Football Club</t>
  </si>
  <si>
    <t>武里サッカークラブ</t>
  </si>
  <si>
    <t>タケサトサッカークラブ</t>
  </si>
  <si>
    <t>takesato sc</t>
  </si>
  <si>
    <t>栄町キッカーズ</t>
  </si>
  <si>
    <t>サカエチョウキッカーズ</t>
  </si>
  <si>
    <t>sakaecho_kickers</t>
  </si>
  <si>
    <t>豊春サッカークラブ</t>
  </si>
  <si>
    <t>トヨハルサッカークラブ</t>
  </si>
  <si>
    <t>TOYOHARU SOCCER CLUB</t>
  </si>
  <si>
    <t>小渕サッカースポーツ少年団</t>
  </si>
  <si>
    <t>コブチサッカースポーツショウネンダン</t>
  </si>
  <si>
    <t>kobuchi soccer sports club</t>
  </si>
  <si>
    <t>ＦＣ　Ｇｏｉｓ　ＹＡＮＡＫＡ</t>
  </si>
  <si>
    <t>エフシーゴイスヤナカ</t>
  </si>
  <si>
    <t>FC Gois YANAKA</t>
  </si>
  <si>
    <t>牛島フットボールクラブ</t>
  </si>
  <si>
    <t>ウシジマフットボールクラブ</t>
  </si>
  <si>
    <t>ＦＣバンビーノ</t>
  </si>
  <si>
    <t>エフシーバンビーノ</t>
  </si>
  <si>
    <t>fc bambino</t>
  </si>
  <si>
    <t>岩槻ジャガーズサッカースポーツ少年団</t>
  </si>
  <si>
    <t>イワツキジャガーズサッカースポーツショウネンダン</t>
  </si>
  <si>
    <t>iwatsukijaguars</t>
  </si>
  <si>
    <t>岩槻ブリッツＦＣスポーツ少年団</t>
  </si>
  <si>
    <t>イワツキブリッツエフシスポーツショウネンダン</t>
  </si>
  <si>
    <t>iwatukiburittufcsupo-yusyounenndann</t>
  </si>
  <si>
    <t>百間サッカースポーツ少年団</t>
  </si>
  <si>
    <t>モンマサッカースポーツショウネンダン</t>
  </si>
  <si>
    <t>MONMA SOCCER</t>
  </si>
  <si>
    <t>ＦＣ宮代東</t>
  </si>
  <si>
    <t>エフシーミヤシロヒガシ</t>
  </si>
  <si>
    <t xml:space="preserve">FC MIYASHIRO HIGASHI </t>
  </si>
  <si>
    <t>庄和ファイターズサッカースポーツ少年団</t>
  </si>
  <si>
    <t>ショウワファイターズサッカースポーツショウネンダン</t>
  </si>
  <si>
    <t>Showa Fighters Soccer Sports Shonendan</t>
  </si>
  <si>
    <t>ストームサッカークラブ</t>
  </si>
  <si>
    <t>STORM SOCCER CLUB</t>
  </si>
  <si>
    <t>蓮田レックスＦ・Ｃ</t>
  </si>
  <si>
    <t>ハスダレックスエフシー</t>
  </si>
  <si>
    <t>HASUDAREKS FOOTBALLCLUB</t>
  </si>
  <si>
    <t>蓮田キッカーズ</t>
  </si>
  <si>
    <t>ハスダキッカーズ</t>
  </si>
  <si>
    <t>hasuda kickers</t>
  </si>
  <si>
    <t>ＦＣ白岡南</t>
  </si>
  <si>
    <t>エフシーシラオカミナミ</t>
  </si>
  <si>
    <t>FC Shiraoka Minami</t>
  </si>
  <si>
    <t>杉戸倉松サッカースポーツ少年団</t>
  </si>
  <si>
    <t>スギトクラマツサッカースポーツショウネンダン</t>
  </si>
  <si>
    <t>sugitokuramatusakka-supo-tusyounendan</t>
  </si>
  <si>
    <t>杉戸西サッカースポーツ少年団</t>
  </si>
  <si>
    <t>スギトニシサッカースポーツショウネンダン</t>
  </si>
  <si>
    <t>sugitonishi</t>
  </si>
  <si>
    <t>栗橋ジュニアサッカークラブ</t>
  </si>
  <si>
    <t>クリハシジュニアサッカークラブ</t>
  </si>
  <si>
    <t>kurihashi junior soccer club</t>
  </si>
  <si>
    <t>久喜キッカーズ</t>
  </si>
  <si>
    <t>クキキッカーズ</t>
  </si>
  <si>
    <t>kukikickers</t>
  </si>
  <si>
    <t>久喜本町クラブ</t>
  </si>
  <si>
    <t>クキホンチョウクラブ</t>
  </si>
  <si>
    <t>kuki-honcho club</t>
  </si>
  <si>
    <t>久喜東ＦＣ</t>
  </si>
  <si>
    <t>クキヒガシエフシー</t>
  </si>
  <si>
    <t>KUKIHIGASHI FC</t>
  </si>
  <si>
    <t>砂原サッカースポーツ少年団</t>
  </si>
  <si>
    <t>スナハラサッカースポーツショウネンダン</t>
  </si>
  <si>
    <t>ＦｏｒＷａｒＤ　ＦＣ</t>
  </si>
  <si>
    <t>フォワード　エフシー</t>
  </si>
  <si>
    <t>ForWarD FC</t>
  </si>
  <si>
    <t>加須ユナイテッド　ＦＣ</t>
  </si>
  <si>
    <t>カゾユナイテッドエフシー</t>
  </si>
  <si>
    <t>Kazo United Football Club</t>
  </si>
  <si>
    <t>ＫＺファイブ</t>
  </si>
  <si>
    <t>ケーゼットファイブ</t>
  </si>
  <si>
    <t>KZ FIVE</t>
  </si>
  <si>
    <t>立花キッカーズ</t>
  </si>
  <si>
    <t>タチバナキッカーズ</t>
  </si>
  <si>
    <t xml:space="preserve">Tachibana Kickers </t>
  </si>
  <si>
    <t>早稲田つつみＦＣスポーツ少年団</t>
  </si>
  <si>
    <t>ワセダツツミエフシースポーツショウネンダン</t>
  </si>
  <si>
    <t>wasedatutumiFCsprtsshounendan</t>
  </si>
  <si>
    <t>南郷ＦＣスポーツ少年団</t>
  </si>
  <si>
    <t>ナンサトエフシースポーツショウネンダン</t>
  </si>
  <si>
    <t>彦成フットボールクラブスポーツ少年団</t>
  </si>
  <si>
    <t>ヒコナリフットボールクラブスポーツショウネンダン</t>
  </si>
  <si>
    <t>HIKONARI FOOTBALLCLUB SPORTSYOUNENDAN</t>
  </si>
  <si>
    <t>三郷フットボールクラブＪｒ．</t>
  </si>
  <si>
    <t>ミサトフットボールクラブジュニア</t>
  </si>
  <si>
    <t>misato football club junior</t>
  </si>
  <si>
    <t>越谷フットボールクラブジュニア</t>
  </si>
  <si>
    <t>コシガヤフットボールクラブジュニア</t>
  </si>
  <si>
    <t>KOSHIGAYA FC</t>
  </si>
  <si>
    <t>越谷桜南サッカースポーツ少年団</t>
  </si>
  <si>
    <t>コシガヤオウナンサッカースポーツショウネンダン</t>
  </si>
  <si>
    <t>KOSHIGAYA OHNAN SOCCER SPORTS SYOUNENDAN</t>
  </si>
  <si>
    <t>川柳ジュニアフットボールクラブ</t>
  </si>
  <si>
    <t>カワヤナギジュニアフットボールクラブ</t>
  </si>
  <si>
    <t>KAWAYANAGI Junior Football Club</t>
  </si>
  <si>
    <t>ＦＯＯＴＢＡＬＬＣＬＵＢ蒲生東スポーツ少年団</t>
  </si>
  <si>
    <t>フットボールクラブガモウヒガシスポーツショウネンダン</t>
  </si>
  <si>
    <t>footballclubgamouhigashisuportssyounendan</t>
  </si>
  <si>
    <t>桜井サッカースポーツ少年団</t>
  </si>
  <si>
    <t>サクライサッカースポーツショウネンダン</t>
  </si>
  <si>
    <t>SAKURAI.SSS</t>
  </si>
  <si>
    <t>越谷南フットボールクラブスポーツ少年団</t>
  </si>
  <si>
    <t>コシガヤミナミフットボールクラブスポーツショウネンダン</t>
  </si>
  <si>
    <t>KOSHIGAYAMINAMI FC</t>
  </si>
  <si>
    <t>越谷サンシンサッカースポーツ少年団</t>
  </si>
  <si>
    <t>コシガヤサンシンサッカースポーツショウネンダン</t>
  </si>
  <si>
    <t>宮本サッカースポーツ少年団</t>
  </si>
  <si>
    <t>ミヤモトサッカースポーツショウネンダン</t>
  </si>
  <si>
    <t>miyamoto sss</t>
  </si>
  <si>
    <t>越谷ＰＣキッカーズスポーツ少年団</t>
  </si>
  <si>
    <t>コシガヤピーシーキッカーズスポーツショウネンダン</t>
  </si>
  <si>
    <t>Koshigaya PC Kickers SS</t>
  </si>
  <si>
    <t>大相模サッカースポーツ少年団</t>
  </si>
  <si>
    <t>オオサガミサッカースポーツショウネンダン</t>
  </si>
  <si>
    <t>ohsagamisoccersportshounendan</t>
  </si>
  <si>
    <t>ちくみキッカーズ</t>
  </si>
  <si>
    <t>チクミキッカーズ</t>
  </si>
  <si>
    <t>chikumikikkazu</t>
  </si>
  <si>
    <t>八潮中央サッカースポーツ少年団</t>
  </si>
  <si>
    <t>ヤシオチュウオウサッカースポーツショウネンダン</t>
  </si>
  <si>
    <t>yasiotyuuousoccersportsyounendan</t>
  </si>
  <si>
    <t>吉川武蔵野サッカースポーツ少年団</t>
  </si>
  <si>
    <t>ヨシカワムサシノサッカースポーツショウネンダン</t>
  </si>
  <si>
    <t>YOSHIKAWA MUSASHINO SOCCER</t>
  </si>
  <si>
    <t>ミトス吉川スポーツ少年団</t>
  </si>
  <si>
    <t>ミトスヨシカワスポーツショウネンダン</t>
  </si>
  <si>
    <t>MYTHOS YOSHIKAWA</t>
  </si>
  <si>
    <t>吉川ホワイトシャークサッカースポーツ少年団</t>
  </si>
  <si>
    <t>ヨシカワホワイトシャークサッカースポーツショウネンダン</t>
  </si>
  <si>
    <t>YOSHIKAWA WHITESHARK</t>
  </si>
  <si>
    <t>松伏ＦＣスポーツ少年団</t>
  </si>
  <si>
    <t>マツブシエフシースポーツショウネンダン</t>
  </si>
  <si>
    <t>matsubushi FC sport syounendan</t>
  </si>
  <si>
    <t>川越ファーストサッカー少年団</t>
  </si>
  <si>
    <t>カワゴエファーストサッカーショウネンダン</t>
  </si>
  <si>
    <t>Kawagoe First Soccer Club</t>
  </si>
  <si>
    <t>イーグルファイターサッカー少年団</t>
  </si>
  <si>
    <t>イーグルファイターサッカーショウネンダン</t>
  </si>
  <si>
    <t>EFFC</t>
  </si>
  <si>
    <t>川越ライオンズサッカー少年団</t>
  </si>
  <si>
    <t>カワゴエライオンズサッカーショウネンダン</t>
  </si>
  <si>
    <t>kawagoelions</t>
  </si>
  <si>
    <t>ＦＣミドルサッカー少年団</t>
  </si>
  <si>
    <t>エフシーミドルサッカーショウネンダン</t>
  </si>
  <si>
    <t>FC Middle Junior Soccer</t>
  </si>
  <si>
    <t>川越パンサーサッカー少年団</t>
  </si>
  <si>
    <t>カワゴエパンサーサッカーショウネンダン</t>
  </si>
  <si>
    <t>KAWAGOE PANTHER SOCCER SHONENDAN</t>
  </si>
  <si>
    <t>川越スパークスサッカー少年団</t>
  </si>
  <si>
    <t>カワゴエスパークスサッカーショウネンダン</t>
  </si>
  <si>
    <t>Kawagoe Sparks SS</t>
  </si>
  <si>
    <t>川越バッハローサッカー少年団</t>
  </si>
  <si>
    <t>カワゴエバッハローサッカーショウネンダン</t>
  </si>
  <si>
    <t>kawagoe buffaloes</t>
  </si>
  <si>
    <t>高階イレブンス</t>
  </si>
  <si>
    <t>タカシナイレブンス</t>
  </si>
  <si>
    <t>takashinaelevens</t>
  </si>
  <si>
    <t>川越ストロングスサッカー少年団</t>
  </si>
  <si>
    <t>カワゴエストロングスサッカーショウネンダン</t>
  </si>
  <si>
    <t>kawagoestrongs soccer boys scouts</t>
  </si>
  <si>
    <t>川越ヤンガースサッカー少年団</t>
  </si>
  <si>
    <t>カワゴエヤンガースサッカーショウネンダン</t>
  </si>
  <si>
    <t>Kawagoe Youngers</t>
  </si>
  <si>
    <t>霞ケ関少年サッカークラブ</t>
  </si>
  <si>
    <t>カスミガセキショウネンサッカークラブ</t>
  </si>
  <si>
    <t>KASUMIGASEKI-BOYS-SOCCER-CLUB</t>
  </si>
  <si>
    <t>ＮＵ広谷サッカークラブ</t>
  </si>
  <si>
    <t>エヌユーヒロヤサッカークラブ</t>
  </si>
  <si>
    <t>NU Hiroya soccer club</t>
  </si>
  <si>
    <t>ＦＣ古谷サッカー少年団</t>
  </si>
  <si>
    <t>エフシーフルヤサッカーショウネンダン</t>
  </si>
  <si>
    <t>FC FURAYA</t>
  </si>
  <si>
    <t>川越ひまわりサッカークラブ</t>
  </si>
  <si>
    <t>カワゴエヒマワリサッカークラブ</t>
  </si>
  <si>
    <t>kawagoehimawarisatuka-kurabu</t>
  </si>
  <si>
    <t>川鶴ＦＣ</t>
  </si>
  <si>
    <t>カワツルエフシー</t>
  </si>
  <si>
    <t>kawatsuruefusi-</t>
  </si>
  <si>
    <t>川越笠幡ＦＣ少年団</t>
  </si>
  <si>
    <t>カワゴエカサハタエフシーショウネンダン</t>
  </si>
  <si>
    <t xml:space="preserve">kawagoekasahataehusi-syounendan </t>
  </si>
  <si>
    <t>Fukuhara soccer club</t>
  </si>
  <si>
    <t>ＦＣ上福岡サンダース</t>
  </si>
  <si>
    <t>エフシーカミフクオカサンダース</t>
  </si>
  <si>
    <t>FC Kamifukuoka Thunders</t>
  </si>
  <si>
    <t>上福岡少年少女サッカークラブ</t>
  </si>
  <si>
    <t>カミフクオカショウネンショウジョサッカークラブ</t>
  </si>
  <si>
    <t>kamifukuoka boys and girls soccer club</t>
  </si>
  <si>
    <t>鶴ケ島栄ＦＣ少年団</t>
  </si>
  <si>
    <t>ツルガシマサカエエフシーショウネンダン</t>
  </si>
  <si>
    <t>ＦＣ鶴ケ島</t>
  </si>
  <si>
    <t>エフシーツルガシマ</t>
  </si>
  <si>
    <t>FC Tsurugashima</t>
  </si>
  <si>
    <t>長鶴サッカー少年団</t>
  </si>
  <si>
    <t>ナガツルサッカーショウネンダン</t>
  </si>
  <si>
    <t>nagatsurusoccersportsclub</t>
  </si>
  <si>
    <t>鶴ケ島西サッカースポーツ少年団</t>
  </si>
  <si>
    <t>ツルガシマニシサッカースポーツショウネンダン</t>
  </si>
  <si>
    <t>tsurugashimanishi Soccer sport syounendan</t>
  </si>
  <si>
    <t>鶴ケ島サザンキッカーズ</t>
  </si>
  <si>
    <t>ツルガシマサザンキッカーズ</t>
  </si>
  <si>
    <t>Turugashima Southern Kickers</t>
  </si>
  <si>
    <t>越生サッカー少年団</t>
  </si>
  <si>
    <t>オゴセサッカーショウネンダン</t>
  </si>
  <si>
    <t>OGOSE SOCCER</t>
  </si>
  <si>
    <t>さいたま市立大宮北中学校サッカー部</t>
  </si>
  <si>
    <t>サイタマシリツオオミヤキタチュウガッコウサッカーブ</t>
  </si>
  <si>
    <t>OMIYA KITA JHS FC</t>
  </si>
  <si>
    <t>0217909</t>
  </si>
  <si>
    <t>埼玉県さいたま市立三橋中学校サッカー部</t>
  </si>
  <si>
    <t>サイタマケンサイタマシリツミハシチュウガッコウサッカーブ</t>
  </si>
  <si>
    <t>saitamakensaitamasiritsumihashisoccerbu</t>
  </si>
  <si>
    <t>0217910</t>
  </si>
  <si>
    <t>さいたま市立大成中学校サッカー部</t>
  </si>
  <si>
    <t>サイタマシリツオオナリチュウガッコウサッカーブ</t>
  </si>
  <si>
    <t>ONARI SOCCER CLUB</t>
  </si>
  <si>
    <t>0217921</t>
  </si>
  <si>
    <t>さいたま市立日進中学校</t>
  </si>
  <si>
    <t>サイタマシリツニッシンチュウガッコウ</t>
  </si>
  <si>
    <t>saitama nisshin junior high school</t>
  </si>
  <si>
    <t>0217932</t>
  </si>
  <si>
    <t>さいたま市立宮原中学校サッカー部</t>
  </si>
  <si>
    <t>サイタマシリツミヤハラチュウガッコウサッカーブ</t>
  </si>
  <si>
    <t>saitamasiritumiyaharatyuugakkou</t>
  </si>
  <si>
    <t>0217943</t>
  </si>
  <si>
    <t>埼玉県さいたま市立植竹中学校サッカー部</t>
  </si>
  <si>
    <t>サイタマケンサイタマシリツウエタケチュウガッコウサッカーブ</t>
  </si>
  <si>
    <t>Uetake Junior High School Soccer Club</t>
  </si>
  <si>
    <t>0217954</t>
  </si>
  <si>
    <t>さいたま市立大砂土中学校サッカー部</t>
  </si>
  <si>
    <t>サイタマシリツオオサトチュウガッコウサッカーブ</t>
  </si>
  <si>
    <t>osato</t>
  </si>
  <si>
    <t>0217965</t>
  </si>
  <si>
    <t>さいたま市立指扇中学校</t>
  </si>
  <si>
    <t>サイタマシリツサシオウギチュウガッコウ</t>
  </si>
  <si>
    <t>sashiogi</t>
  </si>
  <si>
    <t>0217976</t>
  </si>
  <si>
    <t>さいたま市立片柳中学校サッカー部</t>
  </si>
  <si>
    <t>サイタマシリツカタヤナギチュウガッコウサッカーブ</t>
  </si>
  <si>
    <t>SAITAMASHIRITUKATAYANAGITYUGAKKOU</t>
  </si>
  <si>
    <t>0217987</t>
  </si>
  <si>
    <t>さいたま市立岸中学校サッカー部</t>
  </si>
  <si>
    <t>サイタマシリツキシチュウガッコウサッカーブ</t>
  </si>
  <si>
    <t>Kishi JHS Football Club</t>
  </si>
  <si>
    <t>0217998</t>
  </si>
  <si>
    <t>さいたま市立常盤中学校</t>
  </si>
  <si>
    <t>サイタマシリツトキワチュウガッコウ</t>
  </si>
  <si>
    <t>tokiwa junior high school fc</t>
  </si>
  <si>
    <t>0218001</t>
  </si>
  <si>
    <t>さいたま市立木崎中学校サッカー部</t>
  </si>
  <si>
    <t>サイタマシリツキザキチュウガッコウサッカーブ</t>
  </si>
  <si>
    <t>Kizaki Jr high School</t>
  </si>
  <si>
    <t>0218012</t>
  </si>
  <si>
    <t>さいたま市立原山中学校サッカー部</t>
  </si>
  <si>
    <t>サイタマシリツハラヤマチュウガッコウサッカーブ</t>
  </si>
  <si>
    <t>harayama jr.high school</t>
  </si>
  <si>
    <t>0218023</t>
  </si>
  <si>
    <t>埼玉県さいたま市立本太中学校</t>
  </si>
  <si>
    <t>サイタマケンサイタマシリツモトブトチュウガッコウ</t>
  </si>
  <si>
    <t>MOTOBUTO JR HIGH SHOOL</t>
  </si>
  <si>
    <t>0218034</t>
  </si>
  <si>
    <t>さいたま市立東浦和中学校サッカー部</t>
  </si>
  <si>
    <t>サイタマシリツヒガシウラワチュウガッコウサッカーブ</t>
  </si>
  <si>
    <t>saitamashiritsuhigashiurawachuugakkou</t>
  </si>
  <si>
    <t>0218045</t>
  </si>
  <si>
    <t>さいたま市立南浦和中学校サッカー部</t>
  </si>
  <si>
    <t>サイタマシリツミナミウラワチュウガッコウサッカーブ</t>
  </si>
  <si>
    <t>saitamaminamiurawaJ.H.S.FC</t>
  </si>
  <si>
    <t>0218056</t>
  </si>
  <si>
    <t>さいたま市立白幡中学校サッカー部</t>
  </si>
  <si>
    <t>サイタマシリツシラハタチュウガッコウサッカーブ</t>
  </si>
  <si>
    <t>SHIRAHATASOCCERCLUB</t>
  </si>
  <si>
    <t>0218067</t>
  </si>
  <si>
    <t>さいたま市立大原中学校サッカー部</t>
  </si>
  <si>
    <t>サイタマシリツオオハラチュウガッコウサッカーブ</t>
  </si>
  <si>
    <t>ohara</t>
  </si>
  <si>
    <t>0218078</t>
  </si>
  <si>
    <t>埼玉県さいたま市立土合中学校サッカー部</t>
  </si>
  <si>
    <t>サイタマケンサイタマシリツツチアイチュウガッコウサッカーブ</t>
  </si>
  <si>
    <t>0218089</t>
  </si>
  <si>
    <t>さいたま市立大久保中学校サッカー部</t>
  </si>
  <si>
    <t>サイタマシリツオオクボチュウガッコウサッカーブ</t>
  </si>
  <si>
    <t>OKUBO SOCCER</t>
  </si>
  <si>
    <t>0218090</t>
  </si>
  <si>
    <t>さいたま市立大谷場中学校サッカー部</t>
  </si>
  <si>
    <t>サイタマシリツオオヤバチュウガッコウサッカーブ</t>
  </si>
  <si>
    <t>OYABA JUNIOR HIGH SCHOOL</t>
  </si>
  <si>
    <t>0218102</t>
  </si>
  <si>
    <t>さいたま市立美園中学校サッカー部</t>
  </si>
  <si>
    <t>サイタマシリツミソノチュウガッコウサッカーブ</t>
  </si>
  <si>
    <t>MISONO JHS FC</t>
  </si>
  <si>
    <t>0218113</t>
  </si>
  <si>
    <t>さいたま市立田島中学校サッカー部</t>
  </si>
  <si>
    <t>サイタマシリツタジマチュウガッコウサッカーブ</t>
  </si>
  <si>
    <t>TAJIMA J.H.S FOOTBALLCLUB</t>
  </si>
  <si>
    <t>0218135</t>
  </si>
  <si>
    <t>さいたま市立三室中学校サッカー部</t>
  </si>
  <si>
    <t>サイタマシリツミムロチュウガッコウサッカーブ</t>
  </si>
  <si>
    <t>Mimuro Junior High School</t>
  </si>
  <si>
    <t>0218146</t>
  </si>
  <si>
    <t>さいたま市立上大久保中学校サッカー部</t>
  </si>
  <si>
    <t>サイタマシリツカミオオクボチュウガッコウサッカーブ</t>
  </si>
  <si>
    <t>KAMIOOKUBO JUNIOR HIGH SCHOOL</t>
  </si>
  <si>
    <t>0218157</t>
  </si>
  <si>
    <t>さいたま市立内谷中学校</t>
  </si>
  <si>
    <t>サイタマシリツウチヤチュウガッコウ</t>
  </si>
  <si>
    <t>uchiya jr high school</t>
  </si>
  <si>
    <t>0218168</t>
  </si>
  <si>
    <t>さいたま市立尾間木中学校サッカー部</t>
  </si>
  <si>
    <t>サイタマシリツオマギチュウガッコウサッカーブ</t>
  </si>
  <si>
    <t>OMAGI JHS FC</t>
  </si>
  <si>
    <t>0218179</t>
  </si>
  <si>
    <t>埼玉大学教育学部附属中学校サッカー部</t>
  </si>
  <si>
    <t>サイタマダイガクキョウイクガクブフゾクチュウガッコウサッカーブ</t>
  </si>
  <si>
    <t>saitama-u.fuzoku.jhs</t>
  </si>
  <si>
    <t>0218180</t>
  </si>
  <si>
    <t>URAWA LUTHERAN SCHOOL</t>
  </si>
  <si>
    <t>0218191</t>
  </si>
  <si>
    <t>川口市立東中学校サッカー部</t>
  </si>
  <si>
    <t>カワグチシリツヒガシチュウガッコウサッカーブ</t>
  </si>
  <si>
    <t>0218203</t>
  </si>
  <si>
    <t>川口市立西中学校</t>
  </si>
  <si>
    <t>カワグチシリツニシチュウガッコウ</t>
  </si>
  <si>
    <t>kawaguchishiritsu nishi chuugakkou</t>
  </si>
  <si>
    <t>0218214</t>
  </si>
  <si>
    <t>川口市立芝中学校サッカー部</t>
  </si>
  <si>
    <t>カワグチシリツシバチュウガッコウサッカーブ</t>
  </si>
  <si>
    <t>shiba j.h.s</t>
  </si>
  <si>
    <t>0218225</t>
  </si>
  <si>
    <t>川口市立上青木中学校サッカー部</t>
  </si>
  <si>
    <t>カワグチシリツカミアオキチュウガッコウサッカーブ</t>
  </si>
  <si>
    <t>kamiaoki junior high school SC</t>
  </si>
  <si>
    <t>0218247</t>
  </si>
  <si>
    <t>川口市立仲町中学校サッカー部</t>
  </si>
  <si>
    <t>カワグチシリツナカチョウチュウガッコウサッカーブ</t>
  </si>
  <si>
    <t>NAKACHO FC</t>
  </si>
  <si>
    <t>0218258</t>
  </si>
  <si>
    <t>川口市立芝東中学校サッカー部</t>
  </si>
  <si>
    <t>カワグチシリツシバヒガシ</t>
  </si>
  <si>
    <t>kawagutisiritu sibahigasi tyuugakkou</t>
  </si>
  <si>
    <t>0218269</t>
  </si>
  <si>
    <t>川口市立榛松中学校サッカー部</t>
  </si>
  <si>
    <t>カワグチシリツハイマツチュウガッコウサッカーブ</t>
  </si>
  <si>
    <t>KAWAGUCHI HAIMATSU JUNIOR HIGH SCHOOL</t>
  </si>
  <si>
    <t>0218281</t>
  </si>
  <si>
    <t>川口市立神根中学校</t>
  </si>
  <si>
    <t>カワグチシリツカミネチュウガッコウ</t>
  </si>
  <si>
    <t>kamine junior high school</t>
  </si>
  <si>
    <t>0218304</t>
  </si>
  <si>
    <t>川口市立戸塚中学校</t>
  </si>
  <si>
    <t>カワグチシリツトヅカチュウガッコウ</t>
  </si>
  <si>
    <t>tozukachugakko</t>
  </si>
  <si>
    <t>0218315</t>
  </si>
  <si>
    <t>川口市立安行東中学校</t>
  </si>
  <si>
    <t>カワグチシリツアンギョウヒガシチュウガッコウ</t>
  </si>
  <si>
    <t>ANGYO EAST JHS</t>
  </si>
  <si>
    <t>0218326</t>
  </si>
  <si>
    <t>さいたま市立春里中学校</t>
  </si>
  <si>
    <t>サイタマシリツハルサトチュウガッコウ</t>
  </si>
  <si>
    <t>saitamashirituharusatochuugakkou</t>
  </si>
  <si>
    <t>0218337</t>
  </si>
  <si>
    <t>さいたま市立七里中学校</t>
  </si>
  <si>
    <t>サイタマシリツナナサトチュウガッコウ</t>
  </si>
  <si>
    <t>NANASATO-J FC</t>
  </si>
  <si>
    <t>0218359</t>
  </si>
  <si>
    <t>埼玉県さいたま市立泰平中学校</t>
  </si>
  <si>
    <t>サイタマケンサイタマシリツタイヘイチュウガッコウ</t>
  </si>
  <si>
    <t>saitamakennsaitamasiritutaiheityuugakkou</t>
  </si>
  <si>
    <t>0218360</t>
  </si>
  <si>
    <t>さいたま市立宮前中学校サッカー部</t>
  </si>
  <si>
    <t>サイタマシリツミヤマエチュウガッコウサッカーブ</t>
  </si>
  <si>
    <t>saitamashiritu miyamae tyugakkou sakkabu</t>
  </si>
  <si>
    <t>0218371</t>
  </si>
  <si>
    <t>さいたま市立第二東中学校サッカー部</t>
  </si>
  <si>
    <t>サイタマシリツダイニヒガシチュウガッコウサッカーブ</t>
  </si>
  <si>
    <t>saitamasiritu dainihigasi tyuugakkou</t>
  </si>
  <si>
    <t>0218393</t>
  </si>
  <si>
    <t>さいたま市立土屋中学校サッカー部</t>
  </si>
  <si>
    <t>サイタマシリツツチヤチュウガッコウサッカーブ</t>
  </si>
  <si>
    <t>Thuchiya Junior High School football club</t>
  </si>
  <si>
    <t>0218405</t>
  </si>
  <si>
    <t>埼玉県さいたま市立大宮八幡中学校サッカー部</t>
  </si>
  <si>
    <t>サイタマケンサイタマシリツオオミヤヤハタチュウガッコウサッカーブ</t>
  </si>
  <si>
    <t>Saitama Omiyayahata junior high school SC</t>
  </si>
  <si>
    <t>0218416</t>
  </si>
  <si>
    <t>栄東中学校</t>
  </si>
  <si>
    <t>サカエヒガシチュウガッコウ</t>
  </si>
  <si>
    <t>SAKAE HIGASHI JHS</t>
  </si>
  <si>
    <t>0218438</t>
  </si>
  <si>
    <t>鴻巣市立鴻巣中学校サッカー部</t>
  </si>
  <si>
    <t>コウノスシリツコウノスチュウガッコウサッカーブ</t>
  </si>
  <si>
    <t>konosu junior high school</t>
  </si>
  <si>
    <t>0218449</t>
  </si>
  <si>
    <t>鴻巣市立鴻巣北中学校</t>
  </si>
  <si>
    <t>コウノスシリツコウノスキタチュウガッコウ</t>
  </si>
  <si>
    <t>kounosu kita</t>
  </si>
  <si>
    <t>0218450</t>
  </si>
  <si>
    <t>鴻巣市立鴻巣西中学校</t>
  </si>
  <si>
    <t>コウノスシリツコウノスニシチュウガッコウ</t>
  </si>
  <si>
    <t>kounosunishi junior high school</t>
  </si>
  <si>
    <t>0218461</t>
  </si>
  <si>
    <t>鴻巣市立赤見台中学校</t>
  </si>
  <si>
    <t>コウノスシリツアカミダイチュウガッコウ</t>
  </si>
  <si>
    <t>AKAMIDAI JUNIOR HIGH SCHOOL</t>
  </si>
  <si>
    <t>0218483</t>
  </si>
  <si>
    <t>上尾市立太平中学校サッカー部</t>
  </si>
  <si>
    <t>アゲオシリツタイヘイチュウガッコウサッカーブ</t>
  </si>
  <si>
    <t>AGEO TAIHEI</t>
  </si>
  <si>
    <t>0218506</t>
  </si>
  <si>
    <t>上尾市立大石中学校サッカー部</t>
  </si>
  <si>
    <t>アゲオシリツオオイシチュウガッコウサッカーブ</t>
  </si>
  <si>
    <t>OHISHI FC</t>
  </si>
  <si>
    <t>0218517</t>
  </si>
  <si>
    <t>上尾市立原市中学校サッカー部</t>
  </si>
  <si>
    <t>アゲオシリツハライチチュウガッコウサッカーブ</t>
  </si>
  <si>
    <t>Ageo Haraichi JHS FC</t>
  </si>
  <si>
    <t>0218528</t>
  </si>
  <si>
    <t>埼玉県上尾市立西中学校</t>
  </si>
  <si>
    <t>サイタマケンアゲオシリツニシチュウガッコウ</t>
  </si>
  <si>
    <t>ageonishi junior high school</t>
  </si>
  <si>
    <t>0218540</t>
  </si>
  <si>
    <t>埼玉県上尾市立東中学校サッカー部</t>
  </si>
  <si>
    <t>サイタマケンアゲオシリツヒガシチュウガッコウサッカーブ</t>
  </si>
  <si>
    <t>Saitama Ageo Higashi Junior High School FC</t>
  </si>
  <si>
    <t>0218551</t>
  </si>
  <si>
    <t>上尾市立瓦葺中学校</t>
  </si>
  <si>
    <t>アゲオシリツカワラブキチュウガッコウ</t>
  </si>
  <si>
    <t>KAWARABUKI FC</t>
  </si>
  <si>
    <t>0218573</t>
  </si>
  <si>
    <t>上尾市立大谷中学校サッカー部</t>
  </si>
  <si>
    <t>アゲオシリツオオヤチュウガッコウサッカーブ</t>
  </si>
  <si>
    <t>ooya jr high school</t>
  </si>
  <si>
    <t>0218595</t>
  </si>
  <si>
    <t>桶川市立桶川中学校サッカー部</t>
  </si>
  <si>
    <t>オケガワシリツオケガワチュウガッコウサッカーブ</t>
  </si>
  <si>
    <t>OKEGAWACHUUGAKKOU</t>
  </si>
  <si>
    <t>0218607</t>
  </si>
  <si>
    <t>桶川市立桶川東中学校サッカー部</t>
  </si>
  <si>
    <t>オケガワシリツオケガワヒガシチュウガッコウサッカーブ</t>
  </si>
  <si>
    <t>OKEGAWAHIGASHI JUNIOR HIGH SCHOOL FC</t>
  </si>
  <si>
    <t>0218618</t>
  </si>
  <si>
    <t>埼玉県桶川市立桶川西中学校</t>
  </si>
  <si>
    <t>サイタマケンオケガワシリツオケガワニシチュウガッコウ</t>
  </si>
  <si>
    <t>saitamaken okegawasiritu okegawanishichugakko</t>
  </si>
  <si>
    <t>0218629</t>
  </si>
  <si>
    <t>埼玉県北本市立北本中学校サッカー部</t>
  </si>
  <si>
    <t>サイタマケンキタモトシリツキタモトチュウガッコウサッカーブ</t>
  </si>
  <si>
    <t>saitamaken kitamotocyugakko FC</t>
  </si>
  <si>
    <t>0218630</t>
  </si>
  <si>
    <t>北本市立東中学校サッカー部</t>
  </si>
  <si>
    <t>キタモトシリツヒガシチュウガッコウサッカーブ</t>
  </si>
  <si>
    <t>Kitamoto Higashi J.H.S SC</t>
  </si>
  <si>
    <t>0218641</t>
  </si>
  <si>
    <t>北本市立西中学校</t>
  </si>
  <si>
    <t>キタモトシリツニシチュウガッコウ</t>
  </si>
  <si>
    <t>Kitamoto nishi J.H.S</t>
  </si>
  <si>
    <t>0218652</t>
  </si>
  <si>
    <t>鴻巣市立吹上中学校サッカー部</t>
  </si>
  <si>
    <t>コウノスシリツフキアゲチュウガッコウサッカーブ</t>
  </si>
  <si>
    <t>FUKIAGEFC</t>
  </si>
  <si>
    <t>0218674</t>
  </si>
  <si>
    <t>鴻巣市立吹上北中学校サッカー部</t>
  </si>
  <si>
    <t>コウノスシリツフキアゲキタチュウガッコウサッカーブ</t>
  </si>
  <si>
    <t>FUKIAGEKITA J.H.S FC</t>
  </si>
  <si>
    <t>0218685</t>
  </si>
  <si>
    <t>埼玉県伊奈町立小針中学校</t>
  </si>
  <si>
    <t>サイタマケンイナチョウリツコバリチュウガッコウ</t>
  </si>
  <si>
    <t>KOBARI JUNIOR HIGH SCHOOL</t>
  </si>
  <si>
    <t>0218708</t>
  </si>
  <si>
    <t>川越市立川越第一中学校</t>
  </si>
  <si>
    <t>カワゴエシリツカワゴエダイイチチュウガッコウ</t>
  </si>
  <si>
    <t>KAWAGOEDAIICHICHU</t>
  </si>
  <si>
    <t>0218720</t>
  </si>
  <si>
    <t>初雁中学校サッカー部</t>
  </si>
  <si>
    <t>ハツカリチュウガッコウサッカーブ</t>
  </si>
  <si>
    <t>HATSUKARI JUNIOR HIGH SCHOOL</t>
  </si>
  <si>
    <t>0218731</t>
  </si>
  <si>
    <t>川越市立霞ケ関東中学校サッカー部</t>
  </si>
  <si>
    <t>カワゴエシリツカスミガセキヒガシチュウガッコウサッカーブ</t>
  </si>
  <si>
    <t>KASUMIGASEKIHIGASHITYUGAKKOU</t>
  </si>
  <si>
    <t>0218786</t>
  </si>
  <si>
    <t>川越市立野田中学校</t>
  </si>
  <si>
    <t>カワゴエシリツノダチュウガッコウ</t>
  </si>
  <si>
    <t>KAWAGOE NODA JNIOR HIGH SCHOOL</t>
  </si>
  <si>
    <t>0218832</t>
  </si>
  <si>
    <t>川越市立霞ケ関西中学校</t>
  </si>
  <si>
    <t>カワゴエシリツカスミガセキニシチュウガッコウ</t>
  </si>
  <si>
    <t>Kawagoecity Kasumigasekinishi Junior High School</t>
  </si>
  <si>
    <t>0218854</t>
  </si>
  <si>
    <t>川越市立福原中学校サッカー部</t>
  </si>
  <si>
    <t>カワゴエシリツフクハラチュウガッコウサッカーブ</t>
  </si>
  <si>
    <t>FUKUHARA JUNIOR HIGH SCHOOL FC</t>
  </si>
  <si>
    <t>0218887</t>
  </si>
  <si>
    <t>川越市立城南中学校サッカー部</t>
  </si>
  <si>
    <t>カワゴエシリツジョウナンチュウガッコウサッカーブ</t>
  </si>
  <si>
    <t>jonan FC</t>
  </si>
  <si>
    <t>0218898</t>
  </si>
  <si>
    <t>所沢市立向陽中学校サッカー部</t>
  </si>
  <si>
    <t>トコロザワシリツコウヨウチュウガッコウサッカーブ</t>
  </si>
  <si>
    <t>埼玉県所沢市立南陵中学校サッカー部</t>
  </si>
  <si>
    <t>サイタマケントコロザワシリツナンリョウチュウガッコウサッカーブ</t>
  </si>
  <si>
    <t>NANRYOU JONIOR HIGH SCHOOL FC</t>
  </si>
  <si>
    <t>0218944</t>
  </si>
  <si>
    <t>埼玉県所沢市立柳瀬中学校</t>
  </si>
  <si>
    <t>サイタマケントコロザワシリツヤナセチュウガッコウ</t>
  </si>
  <si>
    <t>saitamakenntokorozawasirituyanasetyuugakkou</t>
  </si>
  <si>
    <t>0218966</t>
  </si>
  <si>
    <t>所沢市立小手指中学校サッカー部</t>
  </si>
  <si>
    <t>トコロザワシリツコテサシチュウガッコウサッカーブ</t>
  </si>
  <si>
    <t>KOTESASHI JUNIOR HIGH SCHOOL</t>
  </si>
  <si>
    <t>0218977</t>
  </si>
  <si>
    <t>所沢市立北野中学校</t>
  </si>
  <si>
    <t>トコロザワシリツキタノチュウガッコウ</t>
  </si>
  <si>
    <t>TOKOROZAWASHIRITSUKITANOTYUUGAKKOU</t>
  </si>
  <si>
    <t>0218988</t>
  </si>
  <si>
    <t>所沢市立上山口中学校サッカー部</t>
  </si>
  <si>
    <t>トコロザワシリツカミヤマグチチュウガッコウサッカーブ</t>
  </si>
  <si>
    <t>0218999</t>
  </si>
  <si>
    <t>所沢市立狭山ケ丘中学校サッカー部</t>
  </si>
  <si>
    <t>トコロザワシリツサヤマガオカチュウガッコウサッカーブ</t>
  </si>
  <si>
    <t>Sayamagaoka JHS FC</t>
  </si>
  <si>
    <t>0219002</t>
  </si>
  <si>
    <t>飯能市立飯能第一中学校サッカー部</t>
  </si>
  <si>
    <t>ハンノウシリツハンノウダイイチチュウガッコウサッカーブ</t>
  </si>
  <si>
    <t>HANNO ITTYU FC</t>
  </si>
  <si>
    <t>0219013</t>
  </si>
  <si>
    <t>飯能市立飯能西中学校</t>
  </si>
  <si>
    <t>ハンノウシリツハンノウニシチュウガッコウ</t>
  </si>
  <si>
    <t>HANNOUSHIRITSUHANNOUNISHICYUGAKKOU</t>
  </si>
  <si>
    <t>0219024</t>
  </si>
  <si>
    <t>埼玉県飯能市立加治中学校サッカー部</t>
  </si>
  <si>
    <t>サイタマケンハンノウシリツカジチュウガッコウサッカーブ</t>
  </si>
  <si>
    <t>AFC Kaji Junior High School</t>
  </si>
  <si>
    <t>0219035</t>
  </si>
  <si>
    <t>狭山市立堀兼中学校</t>
  </si>
  <si>
    <t>サヤマシリツホリカネチュウガッコウ</t>
  </si>
  <si>
    <t>horikane junior high school</t>
  </si>
  <si>
    <t>0219079</t>
  </si>
  <si>
    <t>さいたま市立与野東中学校サッカー部</t>
  </si>
  <si>
    <t>サイタマシリツヨノヒガシチュウガッコウサッカーブ</t>
  </si>
  <si>
    <t>yohigashi Jr.high school soccer club</t>
  </si>
  <si>
    <t>0219091</t>
  </si>
  <si>
    <t>サイタマシリツヨノニシチュウガッコウサッカーブ</t>
  </si>
  <si>
    <t>YONO WEST Junior High School</t>
  </si>
  <si>
    <t>0219103</t>
  </si>
  <si>
    <t>さいたま市立与野南中学校サッカー部</t>
  </si>
  <si>
    <t>サイタマシリツヨノミナミチュウガッコウサッカーブ</t>
  </si>
  <si>
    <t>yonominami junior high school</t>
  </si>
  <si>
    <t>0219114</t>
  </si>
  <si>
    <t>さいたま市立八王子中学校サッカー部</t>
  </si>
  <si>
    <t>サイタマシリツハチオウジチュウガッコウサッカーブ</t>
  </si>
  <si>
    <t>HACHIOJI FC</t>
  </si>
  <si>
    <t>0219125</t>
  </si>
  <si>
    <t>草加市立草加中学校サッカー部</t>
  </si>
  <si>
    <t>ソウカシリツソウカチュウガッコウサッカーブ</t>
  </si>
  <si>
    <t>0219136</t>
  </si>
  <si>
    <t>草加市立谷塚中学校</t>
  </si>
  <si>
    <t>ソウカシリツヤツカチュウガッコウ</t>
  </si>
  <si>
    <t>sokashiritsu yatsuka tyugakko</t>
  </si>
  <si>
    <t>0219147</t>
  </si>
  <si>
    <t>草加市立新田中学校サッカー部</t>
  </si>
  <si>
    <t>ソウカシリツシンデンチュウガッコウサッカーブ</t>
  </si>
  <si>
    <t>sinden junior high school</t>
  </si>
  <si>
    <t>0219192</t>
  </si>
  <si>
    <t>蕨市立第一中学校</t>
  </si>
  <si>
    <t>ワラビシリツダイイチチュウガッコウ</t>
  </si>
  <si>
    <t>WARABI  DAIICHI J.H.S FC</t>
  </si>
  <si>
    <t>0219215</t>
  </si>
  <si>
    <t>蕨市立第二中学校サッカー部</t>
  </si>
  <si>
    <t>ワラビシリツダイニチュウガッコウサッカーブ</t>
  </si>
  <si>
    <t>warabisiritudai2tyuugakkousakka-bu</t>
  </si>
  <si>
    <t>0219226</t>
  </si>
  <si>
    <t>蕨市立東中学校</t>
  </si>
  <si>
    <t>ワラビシリツヒガシチュウガッコウ</t>
  </si>
  <si>
    <t>warabisirituhigasityuugakkou</t>
  </si>
  <si>
    <t>0219237</t>
  </si>
  <si>
    <t>戸田市立戸田中学校サッカー部</t>
  </si>
  <si>
    <t>トダシリツトダチュウガッコウサッカーブ</t>
  </si>
  <si>
    <t>TODAJHSSOCCER</t>
  </si>
  <si>
    <t>0219248</t>
  </si>
  <si>
    <t>戸田市立喜沢中学校</t>
  </si>
  <si>
    <t>トダシリツキザワチュウガッコウ</t>
  </si>
  <si>
    <t>todasiritukizawatyuugakkou</t>
  </si>
  <si>
    <t>0219260</t>
  </si>
  <si>
    <t>戸田市立新曽中学校</t>
  </si>
  <si>
    <t>トダシリツニイゾチュウガッコウ</t>
  </si>
  <si>
    <t>TODA NIIZO J.H.S</t>
  </si>
  <si>
    <t>0219271</t>
  </si>
  <si>
    <t>川口市立鳩ヶ谷中学校サッカー部</t>
  </si>
  <si>
    <t>カワグチシリツハトガヤチュウガッコウサッカーブ</t>
  </si>
  <si>
    <t>Kawaguchi Hatogaya J.H.S</t>
  </si>
  <si>
    <t>0219282</t>
  </si>
  <si>
    <t>川口市立八幡木中学校サッカー部</t>
  </si>
  <si>
    <t>カワグチシリツハチマンギチュウガッコウ</t>
  </si>
  <si>
    <t>HACHIMANGI JHS</t>
  </si>
  <si>
    <t>0219293</t>
  </si>
  <si>
    <t>朝霞市立朝霞第一中学校サッカー部</t>
  </si>
  <si>
    <t>アサカシリツアサカダイイチチュウガッコウサッカーブ</t>
  </si>
  <si>
    <t>asaka1fc</t>
  </si>
  <si>
    <t>0219316</t>
  </si>
  <si>
    <t>朝霞第二中学校</t>
  </si>
  <si>
    <t>アサカダイニチュウガッコウ</t>
  </si>
  <si>
    <t>asakadainichuugakkou</t>
  </si>
  <si>
    <t>0219327</t>
  </si>
  <si>
    <t>朝霞市立朝霞第四中学校サッカー部</t>
  </si>
  <si>
    <t>アサカシリツアサカダイヨンチュウガッコウサッカーブ</t>
  </si>
  <si>
    <t>asaka fourth junior high school soccer club</t>
  </si>
  <si>
    <t>0219338</t>
  </si>
  <si>
    <t>埼玉県志木市立志木中学校</t>
  </si>
  <si>
    <t>サイタマケンシキシリツシキチュウガッコウ</t>
  </si>
  <si>
    <t>SHIKI JUNIOR HIGH SCHOOL</t>
  </si>
  <si>
    <t>0219349</t>
  </si>
  <si>
    <t>志木市立志木第二中学校</t>
  </si>
  <si>
    <t>シキシリツシキダイニチュウガッコウ</t>
  </si>
  <si>
    <t>sikidaini</t>
  </si>
  <si>
    <t>0219350</t>
  </si>
  <si>
    <t>新座市立新座中学校</t>
  </si>
  <si>
    <t>ニイザシリツニイザチュウガッコウ</t>
  </si>
  <si>
    <t>niizasiritu niiza jr high school</t>
  </si>
  <si>
    <t>0219383</t>
  </si>
  <si>
    <t>新座市立第二中学校</t>
  </si>
  <si>
    <t>ニイザシリツダイニチュウガッコウ</t>
  </si>
  <si>
    <t>NIIZA2 JUNIOR HIGH SCHOOL FC</t>
  </si>
  <si>
    <t>0219394</t>
  </si>
  <si>
    <t>新座市立第三中学校</t>
  </si>
  <si>
    <t>ニイザシリツダイサンチュウガッコウ</t>
  </si>
  <si>
    <t>Niiza Daisan Junior High School</t>
  </si>
  <si>
    <t>0219406</t>
  </si>
  <si>
    <t>新座市立第四中学校</t>
  </si>
  <si>
    <t>ニイザシリツダイヨンチュウガッコウ</t>
  </si>
  <si>
    <t>NIIZASHIRITUDAIYONTYUUGAKKOU</t>
  </si>
  <si>
    <t>0219417</t>
  </si>
  <si>
    <t>埼玉県新座市立第五中学校</t>
  </si>
  <si>
    <t>サイタマケンニイザシリツダイゴチュウガッコウ</t>
  </si>
  <si>
    <t>NIIZAV JUNIOR HIGH SCHOOL FC</t>
  </si>
  <si>
    <t>0219428</t>
  </si>
  <si>
    <t>新座市立第六中学校</t>
  </si>
  <si>
    <t>ニイザシリツダイロクチュウガッコウ</t>
  </si>
  <si>
    <t>NIIZADAIROKU JUNIOR HIGH SCHOOL</t>
  </si>
  <si>
    <t>0219439</t>
  </si>
  <si>
    <t>和光市立大和中学校サッカー部</t>
  </si>
  <si>
    <t>ワコウシリツヤマトチュウガッコウサッカーブ</t>
  </si>
  <si>
    <t>wakousirituyamatochuugakkousakka-bu</t>
  </si>
  <si>
    <t>0219440</t>
  </si>
  <si>
    <t>桶川市立加納中学校サッカー部</t>
  </si>
  <si>
    <t>オケガワシリツカノウチュウガッコウサッカーブ</t>
  </si>
  <si>
    <t>KANOUJHS FC</t>
  </si>
  <si>
    <t>0231129</t>
  </si>
  <si>
    <t>慈恩寺キッカーズＦＣスポーツ少年団</t>
  </si>
  <si>
    <t>ジオンジキッカーズエフシースポーツショウネンダン</t>
  </si>
  <si>
    <t xml:space="preserve">jionji kickers fc sport shounendan </t>
  </si>
  <si>
    <t>白岡篠津中サッカー部</t>
  </si>
  <si>
    <t>シラオカシノヅチュウサッカーブ</t>
  </si>
  <si>
    <t>shiraokashinozuchuusakka-bu</t>
  </si>
  <si>
    <t>0231174</t>
  </si>
  <si>
    <t>戸田ＦＣスポーツ少年団</t>
  </si>
  <si>
    <t>トダエフシースポーツショウネンダン</t>
  </si>
  <si>
    <t>todafc</t>
  </si>
  <si>
    <t>ふじみ野市立大井中学校</t>
  </si>
  <si>
    <t>フジミノシリツオオイチュウガッコウ</t>
  </si>
  <si>
    <t>0237989</t>
  </si>
  <si>
    <t>朝霞市立朝霞第三中学校</t>
  </si>
  <si>
    <t>アサカシリツアサカダイサンチュウガッコウ</t>
  </si>
  <si>
    <t>ASAKA3 FC</t>
  </si>
  <si>
    <t>0237990</t>
  </si>
  <si>
    <t>戸田市立美笹中学校</t>
  </si>
  <si>
    <t>トダシリツミササチュウガッコウ</t>
  </si>
  <si>
    <t>todasiritu misasa tyuugakkou</t>
  </si>
  <si>
    <t>0238014</t>
  </si>
  <si>
    <t>所沢高校サッカー部</t>
  </si>
  <si>
    <t>トコロザワコウコウサッカーブ</t>
  </si>
  <si>
    <t>saitamakenritu-tokorozawa-koutougakkou sakka-bu</t>
  </si>
  <si>
    <t>鶴ヶ島ブルーウィングスサッカー少年団</t>
  </si>
  <si>
    <t>ツルガシマブルーウィングスサッカーショウネンダン</t>
  </si>
  <si>
    <t>tsurugashima bluewings</t>
  </si>
  <si>
    <t>越生町立越生中学校サッカー部</t>
  </si>
  <si>
    <t>オゴセチョウリツオゴセチュウガッコウサッカーブ</t>
  </si>
  <si>
    <t>ogosetyourituogosetyuugakkousakka-bu</t>
  </si>
  <si>
    <t>0263562</t>
  </si>
  <si>
    <t>戸田一サッカースポーツ少年団</t>
  </si>
  <si>
    <t>トダイチサッカースポーツショウネンダン</t>
  </si>
  <si>
    <t>toda1soccer</t>
  </si>
  <si>
    <t>埼玉朝鮮初中級学校</t>
  </si>
  <si>
    <t>サイタマチョウセンショチュウキュウガッコウ</t>
  </si>
  <si>
    <t>saitama korea</t>
  </si>
  <si>
    <t>0281832</t>
  </si>
  <si>
    <t>川口市立高等学校女子サッカー部</t>
  </si>
  <si>
    <t>カワグチシリツコウトウガッコウジョシサッカーブ</t>
  </si>
  <si>
    <t>Kawaguchi Municipal high school girls soccer club</t>
  </si>
  <si>
    <t>熊谷市立大原中学校サッカー部</t>
  </si>
  <si>
    <t>クマガヤシリツオオハラチュウガッコウサッカーブ</t>
  </si>
  <si>
    <t xml:space="preserve">kumagaya ohara </t>
  </si>
  <si>
    <t>0290944</t>
  </si>
  <si>
    <t>埼玉県立越ヶ谷高校女子サッカー部</t>
  </si>
  <si>
    <t>サイタマケンリツコシガヤコウコウジョシサッカーブ</t>
  </si>
  <si>
    <t>Koshigaya High School Girl's Soccer Club</t>
  </si>
  <si>
    <t>ＭＥＮＵＭＡ水友ＦＣ</t>
  </si>
  <si>
    <t>メヌマスイトモエフシー</t>
  </si>
  <si>
    <t>MENUMASUITOMOFC</t>
  </si>
  <si>
    <t>戸田ＪＳＣ</t>
  </si>
  <si>
    <t>トダジェイエスシー</t>
  </si>
  <si>
    <t>todajsc</t>
  </si>
  <si>
    <t>Ｆ．Ｃ．ストーンズ</t>
  </si>
  <si>
    <t>エフシーストーンズ</t>
  </si>
  <si>
    <t>F.C.STONES</t>
  </si>
  <si>
    <t>川越わくいＦＣ</t>
  </si>
  <si>
    <t>カワゴエワクイエフシー</t>
  </si>
  <si>
    <t>kawagoewakuiehushi</t>
  </si>
  <si>
    <t>ＭＭサントスＦＣ</t>
  </si>
  <si>
    <t>エムエムサントスエフシー</t>
  </si>
  <si>
    <t>MMSantosFC</t>
  </si>
  <si>
    <t>浦和明の星女子高等学校サッカー部</t>
  </si>
  <si>
    <t>ウラワアケノホシジョシコウトウガッコウサッカーブ</t>
  </si>
  <si>
    <t>urawaakenohoshijyosikoutougakkkousakka-bu</t>
  </si>
  <si>
    <t>浦和レッドダイヤモンズレディース</t>
  </si>
  <si>
    <t>ウラワレッドダイヤモンズレディース</t>
  </si>
  <si>
    <t>URAWA RED DIAMONDS LADIES</t>
  </si>
  <si>
    <t>三郷Ｊｒ　Ｙｏｕｔｈ　ＦＣ</t>
  </si>
  <si>
    <t>ミサトジュニアユースフットボールクラブ</t>
  </si>
  <si>
    <t>misato jr youth fc</t>
  </si>
  <si>
    <t>ＮＰＯ法人ＢｒｕｄｅｒＳＶ</t>
  </si>
  <si>
    <t>エヌピーオーホウジンブルーダーエスヴイ</t>
  </si>
  <si>
    <t>BRUDER SV</t>
  </si>
  <si>
    <t>鴻巣フットボールクラブジュニアユース</t>
  </si>
  <si>
    <t>コウノスフットボールクラブジュニアユース</t>
  </si>
  <si>
    <t>KONOSU FOOTBALL CLUB JrYouth</t>
  </si>
  <si>
    <t>ＦＣ．ＳＰＥＡ</t>
  </si>
  <si>
    <t>エフシースピア</t>
  </si>
  <si>
    <t>FC SPEA</t>
  </si>
  <si>
    <t>ユーキッス</t>
  </si>
  <si>
    <t>YUKISS</t>
  </si>
  <si>
    <t>ＦＣ　ＥＣＨＯ</t>
  </si>
  <si>
    <t>エフシーエコー</t>
  </si>
  <si>
    <t>FC ECHO</t>
  </si>
  <si>
    <t>ＬＩＴＴＬＥ　ＷＩＮＧ</t>
  </si>
  <si>
    <t>リトルウイング</t>
  </si>
  <si>
    <t>little wing</t>
  </si>
  <si>
    <t>Ｃａｐ鴻巣ＦＣ</t>
  </si>
  <si>
    <t>キャップコウノスエフシー</t>
  </si>
  <si>
    <t>CAPKOUNOSUFC</t>
  </si>
  <si>
    <t>エッチジーシーイチキューキューマル</t>
  </si>
  <si>
    <t>東浦和サッカークラブ（南部）</t>
  </si>
  <si>
    <t>ヒガシウラワサッカークラブ</t>
  </si>
  <si>
    <t>higasiurawasakkakurabu</t>
  </si>
  <si>
    <t>さいたま市立馬宮中学校</t>
  </si>
  <si>
    <t>サイタマシリツマミヤチュウガッコウ</t>
  </si>
  <si>
    <t>saitamasiritumamiyatyuugakkou</t>
  </si>
  <si>
    <t>0305738</t>
  </si>
  <si>
    <t>西武学園文理中学校</t>
  </si>
  <si>
    <t>セイブガクエンブンリチュウガッコウ</t>
  </si>
  <si>
    <t>SEIBU BUNRI JUNIOR HIGH SCHOOL</t>
  </si>
  <si>
    <t>0305750</t>
  </si>
  <si>
    <t>所沢市立三ヶ島中学校サッカー部</t>
  </si>
  <si>
    <t>トコロザワシリツミカジマチュウガッコウサッカーブ</t>
  </si>
  <si>
    <t>Tokorozawasiritumikajimachuugakkousakka-bu</t>
  </si>
  <si>
    <t>0305761</t>
  </si>
  <si>
    <t>美里中学校サッカー部</t>
  </si>
  <si>
    <t>ミサトチュウガッコウサッカーブ</t>
  </si>
  <si>
    <t>MISATO JUNIOR HIGH SCHOOL</t>
  </si>
  <si>
    <t>0305772</t>
  </si>
  <si>
    <t>埼玉県深谷市立南中学校</t>
  </si>
  <si>
    <t>サイタマケンフカヤシリツミナミチュウガッコウ</t>
  </si>
  <si>
    <t>fukaya minami tyugaku</t>
  </si>
  <si>
    <t>0305783</t>
  </si>
  <si>
    <t>深谷市立豊里中学校</t>
  </si>
  <si>
    <t>フカヤシリツトヨサトチュウガッコウ</t>
  </si>
  <si>
    <t>toyosato junior high school</t>
  </si>
  <si>
    <t>0305794</t>
  </si>
  <si>
    <t>越谷市立南中学校</t>
  </si>
  <si>
    <t>コシガヤシリツミナミチュウガッコウ</t>
  </si>
  <si>
    <t>koshigayashiritu minamityuugakkou</t>
  </si>
  <si>
    <t>0305839</t>
  </si>
  <si>
    <t>さいたま市立川通中学校サッカー部</t>
  </si>
  <si>
    <t>サイタマシリツカワドオリチュウガッコウサッカーブ</t>
  </si>
  <si>
    <t>saitamashiritu kawadori JHS</t>
  </si>
  <si>
    <t>0305851</t>
  </si>
  <si>
    <t>春日部市立飯沼中学校</t>
  </si>
  <si>
    <t>カスカベシリツイイヌマチュウガッコウ</t>
  </si>
  <si>
    <t>iinuma junior high school</t>
  </si>
  <si>
    <t>0305873</t>
  </si>
  <si>
    <t>ＦＣ三輪野江ヴィクトリーズスポーツ少年団</t>
  </si>
  <si>
    <t>エフシーミワノエヴィクトリーズスポーツショウネンダン</t>
  </si>
  <si>
    <t>ehusimiwanoevikutorizusupotusyounendan</t>
  </si>
  <si>
    <t>大沢北　ＦＯＯＴＢＡＬＬ　ＣＬＵＢ</t>
  </si>
  <si>
    <t>オオサワキタフットボールクラブ</t>
  </si>
  <si>
    <t>OOSAWAKITA FOOTBALL CLUB</t>
  </si>
  <si>
    <t>ＦＣ．フレッズ</t>
  </si>
  <si>
    <t>エフシーフレッズ</t>
  </si>
  <si>
    <t>ＦＣクラッキ</t>
  </si>
  <si>
    <t>エフシークラッキ</t>
  </si>
  <si>
    <t>F.C.CRAQUE</t>
  </si>
  <si>
    <t>国際学院高等学校</t>
  </si>
  <si>
    <t>コクサイガクインコウトウガッコウ</t>
  </si>
  <si>
    <t>KOKUSAIGAKUIN</t>
  </si>
  <si>
    <t>栄北高等学校</t>
  </si>
  <si>
    <t>サカエキタコウトウガッコウ</t>
  </si>
  <si>
    <t>sakaekita</t>
  </si>
  <si>
    <t>三郷市立前川中学校サッカー部</t>
  </si>
  <si>
    <t>ミサトシリツマエカワチュウガッコウサッカーブ</t>
  </si>
  <si>
    <t>MAEKAWA JUNIOR HIGH SCHOOL FC</t>
  </si>
  <si>
    <t>0306223</t>
  </si>
  <si>
    <t>金山ＦＣ</t>
  </si>
  <si>
    <t>カナヤマエフシ</t>
  </si>
  <si>
    <t>KANAYAMA FC</t>
  </si>
  <si>
    <t>入間ジュニアサッカースクール</t>
  </si>
  <si>
    <t>イルマジュニアサッカースクール</t>
  </si>
  <si>
    <t>iruma junior soccer school</t>
  </si>
  <si>
    <t>加須市立加須平成中学校</t>
  </si>
  <si>
    <t>カゾシリツカゾヘイセイチュウガッコウ</t>
  </si>
  <si>
    <t>KAZOHEISEI</t>
  </si>
  <si>
    <t>0307426</t>
  </si>
  <si>
    <t>川口市立小谷場中学校サッカー部</t>
  </si>
  <si>
    <t>カワグチシリツコヤバチュウガッコウサッカーブ</t>
  </si>
  <si>
    <t>koyaba junior high school</t>
  </si>
  <si>
    <t>0307460</t>
  </si>
  <si>
    <t>比企郡吉見町立吉見中学校サッカー部</t>
  </si>
  <si>
    <t>ヒキグンヨシミチョウリツヨシミチュウガッコウサッカーブ</t>
  </si>
  <si>
    <t>YOSHIMI junior high school soccer club</t>
  </si>
  <si>
    <t>0307842</t>
  </si>
  <si>
    <t>東鷲宮ＦＣ</t>
  </si>
  <si>
    <t>ヒガシワシノミヤフットボールクラブ</t>
  </si>
  <si>
    <t>higashiwashinomiya FC</t>
  </si>
  <si>
    <t>クマガヤサッカースポーツクラブ</t>
  </si>
  <si>
    <t>東春７２</t>
  </si>
  <si>
    <t>トウシュン７２</t>
  </si>
  <si>
    <t>toshun 72</t>
  </si>
  <si>
    <t>Ｆ・Ｃ　Ｐｕｎｔｏｓ</t>
  </si>
  <si>
    <t>エフシーパントス</t>
  </si>
  <si>
    <t>f.c puntos</t>
  </si>
  <si>
    <t>ＦＣ　Ｏ’ｔｉｍｏ</t>
  </si>
  <si>
    <t>エフシーオッティモ</t>
  </si>
  <si>
    <t>FC O'timo</t>
  </si>
  <si>
    <t>川越ＳＨＩＪＵＧＡＲＡ　ＳＣ</t>
  </si>
  <si>
    <t>カワゴエシジュウガラサッカークラブエスシー</t>
  </si>
  <si>
    <t>KAWAGOE SHIJUGARA SC</t>
  </si>
  <si>
    <t>川口ＥＡＳＴ・ＦＣ</t>
  </si>
  <si>
    <t>カワグチイーストエフシー</t>
  </si>
  <si>
    <t>KAWAGUCHI EAST FC</t>
  </si>
  <si>
    <t>熊谷西サッカークラブ</t>
  </si>
  <si>
    <t>クマガヤニシサッカークラブ</t>
  </si>
  <si>
    <t>KUMAGAYA NISHI SOCCER CLUB</t>
  </si>
  <si>
    <t>omiya nishi carioka fottball club</t>
  </si>
  <si>
    <t>ファカルティ・フットボールクラブ</t>
  </si>
  <si>
    <t>ファカルティフットボールクラブ</t>
  </si>
  <si>
    <t>大袋フットボールクラブ</t>
  </si>
  <si>
    <t>オオブクロフットボールクラブ</t>
  </si>
  <si>
    <t>oobukuro football club</t>
  </si>
  <si>
    <t>ムサシフットボールクラブジュニア</t>
  </si>
  <si>
    <t>MUSASHI FC Jr,</t>
  </si>
  <si>
    <t>東京成徳大学深谷高等学校サッカー部</t>
  </si>
  <si>
    <t>トウキョウセイトクダイガクフカヤコウトウガッコウサッカーブ</t>
  </si>
  <si>
    <t>TOKYO SEITOKU UNIVERSITY FUKAYA HIGH SCHOOL FC</t>
  </si>
  <si>
    <t>熊谷市立大麻生中学校サッカー部</t>
  </si>
  <si>
    <t>クマガヤシリツオオアソウチュウガッコウサッカーブ</t>
  </si>
  <si>
    <t>OASO junior high school FC</t>
  </si>
  <si>
    <t>0323491</t>
  </si>
  <si>
    <t>越谷市立千間台中学校</t>
  </si>
  <si>
    <t>コシガヤシリツセンゲンダイチュウガッコウ</t>
  </si>
  <si>
    <t>koshigayashiritusengendaityuugakkou</t>
  </si>
  <si>
    <t>0323503</t>
  </si>
  <si>
    <t>松伏第二中学校サッカー部</t>
  </si>
  <si>
    <t>マツブシダイニチュウガッコウサッカーブ</t>
  </si>
  <si>
    <t>Matubushi JHS FC</t>
  </si>
  <si>
    <t>0323514</t>
  </si>
  <si>
    <t>鴻巣フットボールクラブプライマリー</t>
  </si>
  <si>
    <t>コウノスフットボールクラブプライマリー</t>
  </si>
  <si>
    <t>KONOSU FOOTBALL CLUB Primary</t>
  </si>
  <si>
    <t>川口市立安行中学校</t>
  </si>
  <si>
    <t>カワグチシリツアンギョウチュウガッコウ</t>
  </si>
  <si>
    <t>Kawaguchi Angyo Junior High School</t>
  </si>
  <si>
    <t>0323862</t>
  </si>
  <si>
    <t>南古谷中サッカー部</t>
  </si>
  <si>
    <t>ミナミフルヤチュウサッカーブ</t>
  </si>
  <si>
    <t>minamifuruya junior high school soccer club</t>
  </si>
  <si>
    <t>0323873</t>
  </si>
  <si>
    <t>鳩山町立鳩山中学校</t>
  </si>
  <si>
    <t>ハトヤマチョウリツハトヤマチュウガッコウ</t>
  </si>
  <si>
    <t>hatoyama junior high school</t>
  </si>
  <si>
    <t>0323884</t>
  </si>
  <si>
    <t>秀明中学校</t>
  </si>
  <si>
    <t>シュウメイチュウガッコウ</t>
  </si>
  <si>
    <t>shuumeichuugakkou</t>
  </si>
  <si>
    <t>0323895</t>
  </si>
  <si>
    <t>熊谷市立三尻中学校</t>
  </si>
  <si>
    <t>クマガヤシリツミシリチュウガッコウ</t>
  </si>
  <si>
    <t>kumagayasiritumisirityuugakkou</t>
  </si>
  <si>
    <t>0323929</t>
  </si>
  <si>
    <t>川越市立大東西中学校</t>
  </si>
  <si>
    <t>カワゴエシリツダイトウニシチュウガッコウ</t>
  </si>
  <si>
    <t>KAWAGOE DAITO-NISHI JUNIOR HIGH SCHOOL</t>
  </si>
  <si>
    <t>0323930</t>
  </si>
  <si>
    <t>吉川市立中央中学校サッカー部</t>
  </si>
  <si>
    <t>ヨシカワシリツチュウオウチュウガッコウサッカーブ</t>
  </si>
  <si>
    <t>yosikawa central junior high school fc</t>
  </si>
  <si>
    <t>0324762</t>
  </si>
  <si>
    <t>淑徳与野高等学校</t>
  </si>
  <si>
    <t>シュクトクヨノコウトウガッコウ</t>
  </si>
  <si>
    <t>SHUKUTOKUYONO</t>
  </si>
  <si>
    <t>ニコンＦＣ</t>
  </si>
  <si>
    <t>ニコンエフシー</t>
  </si>
  <si>
    <t>Nikon FC</t>
  </si>
  <si>
    <t>パパイヤフットボールクラブ</t>
  </si>
  <si>
    <t>papayafc</t>
  </si>
  <si>
    <t>Ｆ．Ｃ．ファンタ</t>
  </si>
  <si>
    <t>エフシーファンタ</t>
  </si>
  <si>
    <t>F.C.FANTA</t>
  </si>
  <si>
    <t>ＦＣ　ＣＡＭＵＳ</t>
  </si>
  <si>
    <t>エフシー　カミユ</t>
  </si>
  <si>
    <t>FC CAMUS</t>
  </si>
  <si>
    <t>鶴ヶ島アピロンＦＣ</t>
  </si>
  <si>
    <t>ツルガシマアピロンフットボールクラブ</t>
  </si>
  <si>
    <t>浦和ラッキーズフットボールクラブ</t>
  </si>
  <si>
    <t>ウラワラッキーズフットボールクラブ</t>
  </si>
  <si>
    <t>urawalukysf00tbaiiclub</t>
  </si>
  <si>
    <t>レッドローズ</t>
  </si>
  <si>
    <t>REDROSE</t>
  </si>
  <si>
    <t>はぐれメタルズ</t>
  </si>
  <si>
    <t>ハグレメタルズ</t>
  </si>
  <si>
    <t>haguremetaruzu</t>
  </si>
  <si>
    <t>川越ＳＦＣ</t>
  </si>
  <si>
    <t>カワゴエエスエフシー</t>
  </si>
  <si>
    <t>kawagoesfc</t>
  </si>
  <si>
    <t>春日部蹴友クラブ</t>
  </si>
  <si>
    <t>カスカベシュウユウクラブ</t>
  </si>
  <si>
    <t>kasukabesyuuyuu club</t>
  </si>
  <si>
    <t>ＦＣ　ＤＩＡＢＬＯ</t>
  </si>
  <si>
    <t>エフシーディアブロ</t>
  </si>
  <si>
    <t>FC DIABLO</t>
  </si>
  <si>
    <t>マスターズ</t>
  </si>
  <si>
    <t>MASTERS</t>
  </si>
  <si>
    <t>大宮開成高等学校サッカー部</t>
  </si>
  <si>
    <t>オオミヤカイセイコウトウガッコーサッカーブ</t>
  </si>
  <si>
    <t>omiyakaisei soccer club</t>
  </si>
  <si>
    <t>美原サッカークラブ</t>
  </si>
  <si>
    <t>ミハラサッカークラブ</t>
  </si>
  <si>
    <t>MIHARA SOCCER CLUB</t>
  </si>
  <si>
    <t>Ｆ．Ｃ．栗橋南ウイングス</t>
  </si>
  <si>
    <t>エフシークリハシミナミウイングス</t>
  </si>
  <si>
    <t>F.C.KURIHASHIMINAMI WINGS</t>
  </si>
  <si>
    <t>ＦＣフリークス</t>
  </si>
  <si>
    <t>エフシーフリークス</t>
  </si>
  <si>
    <t>FCFreaks</t>
  </si>
  <si>
    <t>豊野Ｆフットボールクラブ</t>
  </si>
  <si>
    <t>トヨノエフフットボールクラブ</t>
  </si>
  <si>
    <t>はくつるフットボールクラブ</t>
  </si>
  <si>
    <t>ハクツルフットボールクラブ</t>
  </si>
  <si>
    <t>HAKUTSURU FOOTBALLCLUB</t>
  </si>
  <si>
    <t>川口市立芝西中学校</t>
  </si>
  <si>
    <t>カワグチシリツシバニシチュウガッコウ</t>
  </si>
  <si>
    <t>SHIBANISHI JUNIOR HIGH SCHOOL</t>
  </si>
  <si>
    <t>0335618</t>
  </si>
  <si>
    <t>川口市立戸塚西中学校</t>
  </si>
  <si>
    <t>カワグチシリツトヅカニシチュウガッコウ</t>
  </si>
  <si>
    <t>TOZUKA NISHI</t>
  </si>
  <si>
    <t>0335629</t>
  </si>
  <si>
    <t>越谷市立西中学校</t>
  </si>
  <si>
    <t>コシガヤシリツニシチュウガッコウ</t>
  </si>
  <si>
    <t>KOSHIGAYA NISHI JUNIOR HIGH SCHOOL FC</t>
  </si>
  <si>
    <t>0335630</t>
  </si>
  <si>
    <t>深谷市立川本中学校</t>
  </si>
  <si>
    <t>フカヤシリツカワモトチュウガッコウ</t>
  </si>
  <si>
    <t>FUKAYA KAWAMOTO JUNIOR HIGH SCHOOL</t>
  </si>
  <si>
    <t>0335641</t>
  </si>
  <si>
    <t>秩父市立影森中学校</t>
  </si>
  <si>
    <t>チチブシリツカゲモリチュウガッコウ</t>
  </si>
  <si>
    <t>kagemori J.H.S</t>
  </si>
  <si>
    <t>0335933</t>
  </si>
  <si>
    <t>ＪＦＣときがわ</t>
  </si>
  <si>
    <t>ジェイエフシートキガワ</t>
  </si>
  <si>
    <t>JFC TOKIGAWA</t>
  </si>
  <si>
    <t>本庄旭サッカースポーツ少年団</t>
  </si>
  <si>
    <t>ホンジョウアサヒサッカースポーツショウネンダン</t>
  </si>
  <si>
    <t>Honjo Asahi FC</t>
  </si>
  <si>
    <t>フィグラーレ狭山ＦＣ</t>
  </si>
  <si>
    <t>フイグラーレサヤマエフシー</t>
  </si>
  <si>
    <t>東松山ペレーニアフットボールクラブ　ジュニアユース</t>
  </si>
  <si>
    <t>ヒガシマツヤマペレーニアフットボールクラブ　ジュニアユース</t>
  </si>
  <si>
    <t>HIGASHIMATSUYAMAPELENIAFOOTBALLCLUB JUNIORYOUTH</t>
  </si>
  <si>
    <t>越谷市立富士中学校</t>
  </si>
  <si>
    <t>コシガヤシリツフジチュウガッコウ</t>
  </si>
  <si>
    <t>KoshigayashiritsuFUJIchugakkou</t>
  </si>
  <si>
    <t>0337823</t>
  </si>
  <si>
    <t>行田市立太田中学校</t>
  </si>
  <si>
    <t>ギョウダシリツオオタチュウガッコウ</t>
  </si>
  <si>
    <t>OHTA JUNIOR HIGH SCHOOL</t>
  </si>
  <si>
    <t>0337834</t>
  </si>
  <si>
    <t>行田市立忍中学校</t>
  </si>
  <si>
    <t>ギョウダシリツオシチュウガッコウ</t>
  </si>
  <si>
    <t>GYODA OSHI JUNIOR SCHOOL</t>
  </si>
  <si>
    <t>0337845</t>
  </si>
  <si>
    <t>春日部市立葛飾中学校</t>
  </si>
  <si>
    <t>カスカベシリツカツシカチュウガッコウ</t>
  </si>
  <si>
    <t>katsusika jr high scool</t>
  </si>
  <si>
    <t>0337856</t>
  </si>
  <si>
    <t>坂戸ディプロマッツ</t>
  </si>
  <si>
    <t>サカドディプロマッツ</t>
  </si>
  <si>
    <t>sakadodiplomats</t>
  </si>
  <si>
    <t>FC SEIBUDAI</t>
  </si>
  <si>
    <t>草加スポーツクラブ</t>
  </si>
  <si>
    <t>ソウカスポーツクラブ</t>
  </si>
  <si>
    <t>SOKA SC</t>
  </si>
  <si>
    <t>ＦＣ．ＢＯＷＴＨ</t>
  </si>
  <si>
    <t>エフシーバウス</t>
  </si>
  <si>
    <t>FC.BOWTH</t>
  </si>
  <si>
    <t>ＦＣ　ＯＮＮ</t>
  </si>
  <si>
    <t>エフシーオーエヌエヌ</t>
  </si>
  <si>
    <t>FC ONN</t>
  </si>
  <si>
    <t>大東クラブ</t>
  </si>
  <si>
    <t>ダイトウクラブ</t>
  </si>
  <si>
    <t>daito club</t>
  </si>
  <si>
    <t>朝日ＦＣ　ＧＲＡＺＩＥ</t>
  </si>
  <si>
    <t>アサヒエフシーグラッツェ</t>
  </si>
  <si>
    <t>asahifc grazie</t>
  </si>
  <si>
    <t>北浦和ＳＣ</t>
  </si>
  <si>
    <t>キタウラワエスシー</t>
  </si>
  <si>
    <t>kitaurawasc</t>
  </si>
  <si>
    <t>与野八王子クラブ</t>
  </si>
  <si>
    <t>ヨノハチオウジクラブ</t>
  </si>
  <si>
    <t>YONOHACHIOUJICLUB</t>
  </si>
  <si>
    <t>川口朝日クラブ</t>
  </si>
  <si>
    <t>カワグチアサヒクラブ</t>
  </si>
  <si>
    <t>kawagutuasahikurabu</t>
  </si>
  <si>
    <t>所沢ジュニアユースサッカークラブ</t>
  </si>
  <si>
    <t>トコロザワジュニアユースサッカークラブ</t>
  </si>
  <si>
    <t>tokorozawa junior youth soccer club</t>
  </si>
  <si>
    <t>尚美学園大学サッカー部</t>
  </si>
  <si>
    <t>ショウビガクエンダイガクサッカーブ</t>
  </si>
  <si>
    <t>SHOBI UNIVERSITY FOOTBALL CLUB</t>
  </si>
  <si>
    <t>平成国際大学サッカー部</t>
  </si>
  <si>
    <t>ヘイセイコクサイダイガクサッカーブ</t>
  </si>
  <si>
    <t>heiseikokusaidaigakusakka-bu</t>
  </si>
  <si>
    <t>上里町立上里北中学校</t>
  </si>
  <si>
    <t>カミサトチョウリツカミサトキタチュウガッコウ</t>
  </si>
  <si>
    <t>KAMISATOKITA F.C.</t>
  </si>
  <si>
    <t>0349343</t>
  </si>
  <si>
    <t>原市場スポーツ少年団（原市場名栗ＳＣ）</t>
  </si>
  <si>
    <t>HARAICHIBANAGURI SC</t>
  </si>
  <si>
    <t>埼玉県立久喜高等学校サッカー部</t>
  </si>
  <si>
    <t>サイタマケンリツクキコウトウガッコウサッカーブ</t>
  </si>
  <si>
    <t>KUKI H.S.F.C</t>
  </si>
  <si>
    <t>立教新座中学校サッカー部</t>
  </si>
  <si>
    <t>リッキョウニイザチュウガッコウサッカーブ</t>
  </si>
  <si>
    <t>Rikkyo Niiza Junior High School</t>
  </si>
  <si>
    <t>0352011</t>
  </si>
  <si>
    <t>ＮＰＯ法人アイウイルスポーツクラブＡ．ＣアスミＪｒユースフットボールクラブ</t>
  </si>
  <si>
    <t>エヌピーオーホウジンアイウイルスポーツクラブエーシーアスミジュニアユースフットボールクラブ</t>
  </si>
  <si>
    <t>A.C.ASUMI</t>
  </si>
  <si>
    <t>川口ＦＣ</t>
  </si>
  <si>
    <t>カワグチフットボールクラブ</t>
  </si>
  <si>
    <t>KAWAGUCHI FC</t>
  </si>
  <si>
    <t>ラスタサッカーファミリー</t>
  </si>
  <si>
    <t>RASTA SOCCER FAMILY</t>
  </si>
  <si>
    <t>大成シティフットボールクラブ坂戸</t>
  </si>
  <si>
    <t>タイセイシティフットボールクラブサカド</t>
  </si>
  <si>
    <t>TAISEICITYFOOTBALLCLUBSAKADO</t>
  </si>
  <si>
    <t>フットボールクラブＪＡＭ－Ｇ</t>
  </si>
  <si>
    <t>フットボールクラブジャムジィ</t>
  </si>
  <si>
    <t>footballclub JAM-G</t>
  </si>
  <si>
    <t>ＨＹＢＲＩＤ　ＦＣ</t>
  </si>
  <si>
    <t>ハイブリッドフットボールクラブ</t>
  </si>
  <si>
    <t>HYBRID FC</t>
  </si>
  <si>
    <t>ＦＣ．デスペラード</t>
  </si>
  <si>
    <t>エフシーデスペラード</t>
  </si>
  <si>
    <t>FC desperado</t>
  </si>
  <si>
    <t>にいざえーすＦＣ</t>
  </si>
  <si>
    <t>ニイザエースエフシー</t>
  </si>
  <si>
    <t>niiza ace fc</t>
  </si>
  <si>
    <t>ＦＣグラウクス</t>
  </si>
  <si>
    <t>エフシーグラウクス</t>
  </si>
  <si>
    <t>富岡サッカークラブ　スポーツ少年団</t>
  </si>
  <si>
    <t>トミオカ　サッカークラブ　　スポーツショウネンダン</t>
  </si>
  <si>
    <t>tomioka sc</t>
  </si>
  <si>
    <t>サイタマジュニアフットボールクラブ</t>
  </si>
  <si>
    <t>Saitama junior football club</t>
  </si>
  <si>
    <t>ＦＣベルウェーブスポーツ少年団</t>
  </si>
  <si>
    <t>エフシーベルウェーブスポーツショウネンダン</t>
  </si>
  <si>
    <t>fc bellwave</t>
  </si>
  <si>
    <t>川越芳野サッカークラブ少年団</t>
  </si>
  <si>
    <t>カワゴエヨシノサッカークラブショウネンダン</t>
  </si>
  <si>
    <t>kawagoeyoshino</t>
  </si>
  <si>
    <t>獨協埼玉中学校</t>
  </si>
  <si>
    <t>ドッキョウサイタマチュウガッコウ</t>
  </si>
  <si>
    <t>Dokkyo Saitama Junior High School</t>
  </si>
  <si>
    <t>0362764</t>
  </si>
  <si>
    <t>大井東中学校サッカー部</t>
  </si>
  <si>
    <t>オオイヒガシチュウガッコウサッカーブ</t>
  </si>
  <si>
    <t>Ohi East Junior High School</t>
  </si>
  <si>
    <t>0363035</t>
  </si>
  <si>
    <t>所沢市立中央中学校</t>
  </si>
  <si>
    <t>トコロザワシリツチュウオウチュウガッコウ</t>
  </si>
  <si>
    <t>Tokorozawa City Tyuou junior high school</t>
  </si>
  <si>
    <t>0363057</t>
  </si>
  <si>
    <t>星野学園中学校サッカー部</t>
  </si>
  <si>
    <t>ホシノガクエンチュウガッコウサッカーブ</t>
  </si>
  <si>
    <t>HOSHINOGAKUENNCHUGAKKOUSAKKABU</t>
  </si>
  <si>
    <t>0365408</t>
  </si>
  <si>
    <t>ＤＡＲＫ　ＨＯＲＳＥ</t>
  </si>
  <si>
    <t>ダークホース</t>
  </si>
  <si>
    <t>DARK HORSE</t>
  </si>
  <si>
    <t>チーム・ニッポン</t>
  </si>
  <si>
    <t>チームニッポン</t>
  </si>
  <si>
    <t>teamnippon</t>
  </si>
  <si>
    <t>川高蹴球会</t>
  </si>
  <si>
    <t>カワタカシュウキュウカイ</t>
  </si>
  <si>
    <t>Kawataka Syukyukai</t>
  </si>
  <si>
    <t>下落合ＦＣ</t>
  </si>
  <si>
    <t>シモオチアイエフシー</t>
  </si>
  <si>
    <t>ShimoochiaiFC</t>
  </si>
  <si>
    <t>バブルスＳ．Ｃ</t>
  </si>
  <si>
    <t>バブルスエスシー</t>
  </si>
  <si>
    <t>BUBBLES.S.C</t>
  </si>
  <si>
    <t>Ｄ．Ｏ．Ｆ</t>
  </si>
  <si>
    <t>ディーオーエフ</t>
  </si>
  <si>
    <t>D.O.F</t>
  </si>
  <si>
    <t>ＦＣ　ＯＢＲＡ</t>
  </si>
  <si>
    <t>エフシーオブラ</t>
  </si>
  <si>
    <t>fcobra</t>
  </si>
  <si>
    <t>与野ＦＣＨ</t>
  </si>
  <si>
    <t>ヨノエフシーエイチ</t>
  </si>
  <si>
    <t>yonofch</t>
  </si>
  <si>
    <t>クラブ（高校生）</t>
  </si>
  <si>
    <t>浦和レッドダイヤモンズレディースユース</t>
  </si>
  <si>
    <t>ウラワレッドダイヤモンズレディースユース</t>
  </si>
  <si>
    <t>URAWA RED DIAMONDS LADIES YOUTH</t>
  </si>
  <si>
    <t>Ｆ．Ｃ．ＭＡＬＯＬＩＥＮＴＥ</t>
  </si>
  <si>
    <t>エフシーマロリエンテ</t>
  </si>
  <si>
    <t>F.C.MAROLIENTE</t>
  </si>
  <si>
    <t>鴻巣ラホージャフットボールクラブ</t>
  </si>
  <si>
    <t>コウノスラホージャフットボールクラブ</t>
  </si>
  <si>
    <t>kounosu lajoya footballclub</t>
  </si>
  <si>
    <t>Ｊｒユースサッカー　クラブ与野</t>
  </si>
  <si>
    <t>ジュニアユースサッカー　クラブヨノ</t>
  </si>
  <si>
    <t>Jr Youth Soccer CLUB YONO</t>
  </si>
  <si>
    <t>成立ゼブラフットボール・クラブ</t>
  </si>
  <si>
    <t>セイリツゼブラフットボールクラブ</t>
  </si>
  <si>
    <t>Seiritsu Zebra</t>
  </si>
  <si>
    <t>東春７２ジュニアユース</t>
  </si>
  <si>
    <t>トウシュン７２ジュニアユース</t>
  </si>
  <si>
    <t>TOSHUN72</t>
  </si>
  <si>
    <t>朝霞ＥＳＴＲＥＬＡ・Ｊｒユース</t>
  </si>
  <si>
    <t>アサカエステレーラジュニアユース</t>
  </si>
  <si>
    <t>asaka estrela Junior youth</t>
  </si>
  <si>
    <t>ＦＣ入間ジュニアユース</t>
  </si>
  <si>
    <t>エフシーイルマジュニアユース</t>
  </si>
  <si>
    <t>FC.IRUMA Jr.Youth</t>
  </si>
  <si>
    <t>ＧＥＴかみたのスポーツ少年団</t>
  </si>
  <si>
    <t>ゲットカミタノスポーツショウネンダン</t>
  </si>
  <si>
    <t>getkamitanosupo-tusyounendan</t>
  </si>
  <si>
    <t>戸ヶ崎イレブンスポーツ少年団</t>
  </si>
  <si>
    <t>トガサキイレブンスポーツショウネンダン</t>
  </si>
  <si>
    <t>togasakieleven</t>
  </si>
  <si>
    <t>大宮日進ＳＳレディース</t>
  </si>
  <si>
    <t>オオミヤニッシンエスエスレディース</t>
  </si>
  <si>
    <t>OOMIYA NISSIN SS LADIES</t>
  </si>
  <si>
    <t>熊谷リリーズ☆少女サッカークラブ</t>
  </si>
  <si>
    <t>クマガヤリリーズショウジョサッカークラブ</t>
  </si>
  <si>
    <t>KUMAGAYA LILIES U-12</t>
  </si>
  <si>
    <t>さいたま市立春野中学校</t>
  </si>
  <si>
    <t>サイタマシリツハルノチュウガッコウ</t>
  </si>
  <si>
    <t>haruno junior high school</t>
  </si>
  <si>
    <t>0374756</t>
  </si>
  <si>
    <t>埼玉県戸田市立笹目中学校サッカー部</t>
  </si>
  <si>
    <t>サイタマケントダシリツササメチュウガッコウサッカーブ</t>
  </si>
  <si>
    <t>sasame junior high school</t>
  </si>
  <si>
    <t>0374767</t>
  </si>
  <si>
    <t>鴻巣ラホージャフットボールクラブジュニア</t>
  </si>
  <si>
    <t>コウノスラホージャフットボールクラブジュニア</t>
  </si>
  <si>
    <t>konosulajoyafootballculbjr</t>
  </si>
  <si>
    <t>共栄大学体育会サッカー部</t>
  </si>
  <si>
    <t>kyoeidaigaku taiikukai sakka-bu</t>
  </si>
  <si>
    <t>ＡＦＣ　Ｓｏｕｋａ　ＡＳＵＭＡ</t>
  </si>
  <si>
    <t>エーエフシーソウカアスマ</t>
  </si>
  <si>
    <t>AFCSoukaASUMA</t>
  </si>
  <si>
    <t>ふじみ野市立福岡中学校</t>
  </si>
  <si>
    <t>フジミノシリツフクオカチュウガッコウ</t>
  </si>
  <si>
    <t>0376815</t>
  </si>
  <si>
    <t>美杉台中学校</t>
  </si>
  <si>
    <t>ミスギダイチュウガッコウ</t>
  </si>
  <si>
    <t>0377186</t>
  </si>
  <si>
    <t>エスペランサ</t>
  </si>
  <si>
    <t>ESPERANZA</t>
  </si>
  <si>
    <t>Ｆ３０</t>
  </si>
  <si>
    <t>エフサーティ</t>
  </si>
  <si>
    <t>Fthirty</t>
  </si>
  <si>
    <t>ＧＲＡＮＤＥ　ＦＣ</t>
  </si>
  <si>
    <t>グランデ</t>
  </si>
  <si>
    <t>GRANDE FC</t>
  </si>
  <si>
    <t>与野フットボールクラブ八幡</t>
  </si>
  <si>
    <t>ヨノフットボールクラブハチマン</t>
  </si>
  <si>
    <t>YONO FOOTBALL CLUB HACHIMAN</t>
  </si>
  <si>
    <t>杉戸農業高等学校女子サッカー部</t>
  </si>
  <si>
    <t>スギトノウギョウコウトウガッコウジョシサッカーブ</t>
  </si>
  <si>
    <t>sugitonougyoukoutougakkoujosisakka-bu</t>
  </si>
  <si>
    <t>0387828</t>
  </si>
  <si>
    <t>城北埼玉中学校</t>
  </si>
  <si>
    <t>ジョウホクサイタマチュウガッコウ</t>
  </si>
  <si>
    <t>JOHOKUSAITAMA JUNIOR HIGH SCHOOL</t>
  </si>
  <si>
    <t>0387884</t>
  </si>
  <si>
    <t>川口市立北中学校サッカー部</t>
  </si>
  <si>
    <t>カワグチシリツキタチュウガッコウサッカーブ</t>
  </si>
  <si>
    <t>JFA kawaguchi kita junior high school SC</t>
  </si>
  <si>
    <t>0387895</t>
  </si>
  <si>
    <t>星野高等学校サッカー部</t>
  </si>
  <si>
    <t>ホシノコウトウガッコウサッカーブ</t>
  </si>
  <si>
    <t>Hoshino high school soccer club</t>
  </si>
  <si>
    <t>竜胆倶楽部（ＦＣジェンシャン草加）</t>
  </si>
  <si>
    <t>リンドウクラブ（エフシージェンシャンソウカ）</t>
  </si>
  <si>
    <t>RINDOU CLUB(FC GENTIAN SOKA)</t>
  </si>
  <si>
    <t>川島町立川島中学校</t>
  </si>
  <si>
    <t>カワジマチョウリツカワジマチュウガッコウ</t>
  </si>
  <si>
    <t>kawajimachu</t>
  </si>
  <si>
    <t>0389864</t>
  </si>
  <si>
    <t>秩父ジュニアユースフットボールクラブＭＵＳＡＳＨＩ</t>
  </si>
  <si>
    <t>チチブジュニアユースフットボールクラブムサシ</t>
  </si>
  <si>
    <t>chichibujyuniayu-sufuttobo-rukurabumusashi</t>
  </si>
  <si>
    <t>ジョイフルフットボールクラブ</t>
  </si>
  <si>
    <t>JOYFUL FC</t>
  </si>
  <si>
    <t>川口キャッツアイ</t>
  </si>
  <si>
    <t>カワグチキャッツアイ</t>
  </si>
  <si>
    <t>KawaguchiCatseye</t>
  </si>
  <si>
    <t>春蹴団</t>
  </si>
  <si>
    <t>シュンシュウダン</t>
  </si>
  <si>
    <t>SYUNSYUDAN</t>
  </si>
  <si>
    <t>Ｉ．Ｐ．Ｂ</t>
  </si>
  <si>
    <t>アイピィビィ</t>
  </si>
  <si>
    <t>東松山市役所サッカー部</t>
  </si>
  <si>
    <t>ヒガシマツヤマシヤクショサッカーブ</t>
  </si>
  <si>
    <t>higashimatsuyamasiyakusyosakkabu</t>
  </si>
  <si>
    <t>美杉台トゥギャザー</t>
  </si>
  <si>
    <t>ミスギダイトゥギャザー</t>
  </si>
  <si>
    <t>misugidaitogether</t>
  </si>
  <si>
    <t>川越女子ジュニアサッカークラブ</t>
  </si>
  <si>
    <t>カワゴエジョシジュニアサッカークラブ</t>
  </si>
  <si>
    <t>kawagoe jyoshi Jr soccer club</t>
  </si>
  <si>
    <t>八潮メッツジュニアサッカークラブ</t>
  </si>
  <si>
    <t>ヤシオメッツジュニアサッカークラブ</t>
  </si>
  <si>
    <t>Yashio mets jr soccer club</t>
  </si>
  <si>
    <t>シニア</t>
  </si>
  <si>
    <t>パルスＦＣ</t>
  </si>
  <si>
    <t>パルスフットボールクラブ</t>
  </si>
  <si>
    <t>parusf.c</t>
  </si>
  <si>
    <t>Ｃ・Ｓ・Ｇ</t>
  </si>
  <si>
    <t>シーエスジー</t>
  </si>
  <si>
    <t>csg</t>
  </si>
  <si>
    <t>ＢＬＡＣＫ・ＤＪ</t>
  </si>
  <si>
    <t>ブラックディージェー</t>
  </si>
  <si>
    <t>BLACK DJ</t>
  </si>
  <si>
    <t>南河原中学校サッカー部</t>
  </si>
  <si>
    <t>ミナミカワラチュウガッコウサッカーブ</t>
  </si>
  <si>
    <t>MINAMIKAWARA JHS</t>
  </si>
  <si>
    <t>0401870</t>
  </si>
  <si>
    <t>行田市立行田中学校サッカー部</t>
  </si>
  <si>
    <t>ギョウダシリツギョウダチュウガッコウサッカーブ</t>
  </si>
  <si>
    <t>0401881</t>
  </si>
  <si>
    <t>鴻巣市立川里中学校サッカー部</t>
  </si>
  <si>
    <t>コウノスシリツカワサトチュウガッコウサッカーブ</t>
  </si>
  <si>
    <t>kounosusiritukawasatochuugakkou</t>
  </si>
  <si>
    <t>0401926</t>
  </si>
  <si>
    <t>日高市立高麗川中学校</t>
  </si>
  <si>
    <t>ヒダカシリツコマガワチュウガッコウ</t>
  </si>
  <si>
    <t>hidakasiritukomagawa school</t>
  </si>
  <si>
    <t>0401948</t>
  </si>
  <si>
    <t>埼玉県上尾市立上平中学校</t>
  </si>
  <si>
    <t>サイタマケンアゲオシリツカミヒラチュウガッコウ</t>
  </si>
  <si>
    <t>KAMIHIRA</t>
  </si>
  <si>
    <t>0401959</t>
  </si>
  <si>
    <t>深谷市立深谷中学校</t>
  </si>
  <si>
    <t>フカヤシリツフカヤチュウガッコウ</t>
  </si>
  <si>
    <t>Fukaya JHS FC</t>
  </si>
  <si>
    <t>0401971</t>
  </si>
  <si>
    <t>秩父市立吉田中学校</t>
  </si>
  <si>
    <t>チチブシリツヨシダチュウガッコウ</t>
  </si>
  <si>
    <t>yoshida JH</t>
  </si>
  <si>
    <t>0401982</t>
  </si>
  <si>
    <t>草加市立新栄中学校</t>
  </si>
  <si>
    <t>ソウカシリツシンエイチュウガッコウ</t>
  </si>
  <si>
    <t>0402006</t>
  </si>
  <si>
    <t>ＮＩＣＯＬＳＯＮ</t>
  </si>
  <si>
    <t>ニコルソン</t>
  </si>
  <si>
    <t>nicolson</t>
  </si>
  <si>
    <t>ＮＥＯＳ　Ｆｏｏｔｂａｌｌ　Ｃｌｕｂ</t>
  </si>
  <si>
    <t>ネオスフットボールクラブ</t>
  </si>
  <si>
    <t>neos football club</t>
  </si>
  <si>
    <t>東川口フットボールクラブ・ジュニア</t>
  </si>
  <si>
    <t>ヒガシカワグチフットボールクラブジュニア</t>
  </si>
  <si>
    <t>higashikawaguchifootballclub</t>
  </si>
  <si>
    <t>ＦＣウインズ</t>
  </si>
  <si>
    <t>エフシーウインズ</t>
  </si>
  <si>
    <t>FC WINS</t>
  </si>
  <si>
    <t>熊谷市立富士見中学校</t>
  </si>
  <si>
    <t>クマガヤシリツフジミチュウガッコウ</t>
  </si>
  <si>
    <t>FUJIMI J.H.S SOCCER TEAM</t>
  </si>
  <si>
    <t>0404637</t>
  </si>
  <si>
    <t>草加市立松江中学校</t>
  </si>
  <si>
    <t>ソウカシリツマツエチュウガッコウ</t>
  </si>
  <si>
    <t>SOKA MATSUE FC</t>
  </si>
  <si>
    <t>0405391</t>
  </si>
  <si>
    <t>川越市立山田中学校</t>
  </si>
  <si>
    <t>カワゴエシリツヤマダチュウガッコウ</t>
  </si>
  <si>
    <t>Yamada Junior High School</t>
  </si>
  <si>
    <t>0405414</t>
  </si>
  <si>
    <t>ＣＬＵＢ　ＡＴＬＥＴＩＣＯ　ＡＬＥＧＲＥ</t>
  </si>
  <si>
    <t>クルブ　アトレティコ　アレグレ</t>
  </si>
  <si>
    <t>CLUB ATLETICO ALEGRE</t>
  </si>
  <si>
    <t>フットボールクラブ深谷</t>
  </si>
  <si>
    <t>フットボールクラブフカヤ</t>
  </si>
  <si>
    <t>footballclubfukaya</t>
  </si>
  <si>
    <t>熊谷市立荒川中学校サッカー部</t>
  </si>
  <si>
    <t>クマガヤシリツアラカワチュウガッコウサッカーブ</t>
  </si>
  <si>
    <t>FC ARAKAWA</t>
  </si>
  <si>
    <t>0405773</t>
  </si>
  <si>
    <t>埼玉県　深谷市立　藤沢中学校　サッカー部</t>
  </si>
  <si>
    <t>サイタマケンフカヤシリツフジサワチュウガッコウサッカーブ</t>
  </si>
  <si>
    <t>FUJISAWA JHS SC</t>
  </si>
  <si>
    <t>0405841</t>
  </si>
  <si>
    <t>Ｆｕｔｂｏｌ　Ｃｌｕｂ　Ｃａｎｏ</t>
  </si>
  <si>
    <t>フットボルクルブカーニョ</t>
  </si>
  <si>
    <t>Futbol Club Cano</t>
  </si>
  <si>
    <t>与野シニアＦＣ</t>
  </si>
  <si>
    <t>ヨノシニアＦＣ</t>
  </si>
  <si>
    <t>YONOSENIOR</t>
  </si>
  <si>
    <t>越谷ウィンＳＣ</t>
  </si>
  <si>
    <t>コシガヤウィンエスシー</t>
  </si>
  <si>
    <t>koshigayawinsc</t>
  </si>
  <si>
    <t>川口ミナミＦＣ</t>
  </si>
  <si>
    <t>カワグチミナミエフシー</t>
  </si>
  <si>
    <t>kawaguchi minami fc</t>
  </si>
  <si>
    <t>ＦＣアビリスタ</t>
  </si>
  <si>
    <t>エフシーアビリスタ</t>
  </si>
  <si>
    <t>FC HABILISTA</t>
  </si>
  <si>
    <t>レジスタＦＣ</t>
  </si>
  <si>
    <t>レジスタエフシー</t>
  </si>
  <si>
    <t>registafc</t>
  </si>
  <si>
    <t>ネオ・パラ</t>
  </si>
  <si>
    <t>ネオパラ</t>
  </si>
  <si>
    <t>neopara</t>
  </si>
  <si>
    <t>ＦＣ　ＨＵＥＶＯ</t>
  </si>
  <si>
    <t>エフシーウエボ</t>
  </si>
  <si>
    <t>FCHUEVO</t>
  </si>
  <si>
    <t>岩槻フットボールクラブジュニアユース</t>
  </si>
  <si>
    <t>イワツキフットボールクラブジュニアユース</t>
  </si>
  <si>
    <t>iwatsuki football club junior youth</t>
  </si>
  <si>
    <t>ＮＰＯ法人　ＳＨＩＲＡＯＫＡ　Ｋ’ｓフットボールクラブ</t>
  </si>
  <si>
    <t>エヌピーオーホージンシラオカケーズフットボールクラブ</t>
  </si>
  <si>
    <t>npo shiraoka k's football club</t>
  </si>
  <si>
    <t>Ｆｕｔｅｂｏｌ　Ｃｌｕｂｅ　ｄｏ　ＰＡＲＣＥＩＲＯ　Ｊｒユース</t>
  </si>
  <si>
    <t>フッチボウクルブドゥパルセイロジュニアユース</t>
  </si>
  <si>
    <t>Futebol Clube do PARCEIRO Jr Youth</t>
  </si>
  <si>
    <t>ＶＩＴＯＲＩＡ　ＫＡＭＵＩ　ジュニアユース</t>
  </si>
  <si>
    <t>ビトーリアカムイジュニアユース</t>
  </si>
  <si>
    <t>VITORIA KAMUI Jr youth</t>
  </si>
  <si>
    <t>ＦＣ南本庄</t>
  </si>
  <si>
    <t>エフシーミナミホンジョウ</t>
  </si>
  <si>
    <t>fcminamihonnjyo</t>
  </si>
  <si>
    <t>深谷球社会</t>
  </si>
  <si>
    <t>フカヤキュウシャカイ</t>
  </si>
  <si>
    <t>fukaya kyuusyakai</t>
  </si>
  <si>
    <t>行田ＦＣ</t>
  </si>
  <si>
    <t>ギョウダエフシー</t>
  </si>
  <si>
    <t>gyodafc</t>
  </si>
  <si>
    <t>ペルナールＳＣ</t>
  </si>
  <si>
    <t>ペルナールサッカークラブ</t>
  </si>
  <si>
    <t>pernar sc</t>
  </si>
  <si>
    <t>Ｎ．Ｓ．ＳＡＩＴＡＭＡ１９８５</t>
  </si>
  <si>
    <t>エヌエスサイタマイチキュウハチゴ</t>
  </si>
  <si>
    <t>N.S.SAITAMA1985</t>
  </si>
  <si>
    <t>ＰＯＲＴＥＲＯ‐ＮＩＶＥ</t>
  </si>
  <si>
    <t>ポルテロニーベ</t>
  </si>
  <si>
    <t>PORTERO-NIVE</t>
  </si>
  <si>
    <t>エスペランサ　サテライト</t>
  </si>
  <si>
    <t>ESPERANZA SATELLITE</t>
  </si>
  <si>
    <t>埼玉県立南稜高等学校女子サッカー部</t>
  </si>
  <si>
    <t>サイタマケンリツナンリョウコウトウガッコウジョシサッカーブ</t>
  </si>
  <si>
    <t>Nanryo Girl's FC</t>
  </si>
  <si>
    <t>浦和一女サッカー部</t>
  </si>
  <si>
    <t>ウラワイチジョサッカーブ</t>
  </si>
  <si>
    <t>URAWA ICHIJO FC</t>
  </si>
  <si>
    <t>長栄フットボールクラブ</t>
  </si>
  <si>
    <t>チョウエイフットボールクラブ</t>
  </si>
  <si>
    <t>CHOEI FOOTBALL CLUB</t>
  </si>
  <si>
    <t>初雁武蔵野ＳＣ</t>
  </si>
  <si>
    <t>ハツカリムサシノエスシー</t>
  </si>
  <si>
    <t>HATSUKARI MUSASHINO SC</t>
  </si>
  <si>
    <t>桜サッカースポーツ少年団</t>
  </si>
  <si>
    <t>サクラサッカースポーツショウネンダン</t>
  </si>
  <si>
    <t>sakura soccer sports shounenndann</t>
  </si>
  <si>
    <t>越谷市立武蔵野中学校</t>
  </si>
  <si>
    <t>コシガヤシリツムサシノチュウガッコウ</t>
  </si>
  <si>
    <t>MUSASHINO JUNIOR HIGH SCHOOL</t>
  </si>
  <si>
    <t>0417855</t>
  </si>
  <si>
    <t>埼玉県坂戸市立浅羽野中学校</t>
  </si>
  <si>
    <t>サイタマケンサカドシリツアサバノチュウガッコウ</t>
  </si>
  <si>
    <t>ASABANO FOOTBALL TEAM</t>
  </si>
  <si>
    <t>0417877</t>
  </si>
  <si>
    <t>春日部共栄中学校</t>
  </si>
  <si>
    <t>カスカベキョウエイチュウガッコウ</t>
  </si>
  <si>
    <t>kasukabe kyoei jr high school FC</t>
  </si>
  <si>
    <t>0417888</t>
  </si>
  <si>
    <t>城西川越中学校サッカー部</t>
  </si>
  <si>
    <t>ジョウサイカワゴエチュウガッコウサッカーブ</t>
  </si>
  <si>
    <t>JOSAIKAWAGOE JUNIOR HIGH SCHOOL FC</t>
  </si>
  <si>
    <t>0417912</t>
  </si>
  <si>
    <t>さいたま市立大宮東中学校サッカー部</t>
  </si>
  <si>
    <t>サイタマシリツオオミヤヒガシチュウガッコウサッカーブ</t>
  </si>
  <si>
    <t>OmiyaHigashi Junior High SchoolFC</t>
  </si>
  <si>
    <t>0417934</t>
  </si>
  <si>
    <t>さいたま市立植水中学校</t>
  </si>
  <si>
    <t>サイタマシリツウエミズチュウガッコウ</t>
  </si>
  <si>
    <t>uemizu junior high school</t>
  </si>
  <si>
    <t>0417945</t>
  </si>
  <si>
    <t>加須市立北川辺中学校</t>
  </si>
  <si>
    <t>カゾシリツキタカワベチュウガッコウ</t>
  </si>
  <si>
    <t>Kazoshiritsu Kitakawabe Chugakko</t>
  </si>
  <si>
    <t>0417967</t>
  </si>
  <si>
    <t>武蔵台ＦＣフェニックス</t>
  </si>
  <si>
    <t>ムサシダイエフシーフェニックス</t>
  </si>
  <si>
    <t>MUSASHIDAI FC PHENIX</t>
  </si>
  <si>
    <t>越谷シニアサッカークラブ</t>
  </si>
  <si>
    <t>コシガヤシニアサッカークラブ</t>
  </si>
  <si>
    <t>kosigayaseniorsoccerclub</t>
  </si>
  <si>
    <t>吉見エスカーラＦＣ（Ｓ）</t>
  </si>
  <si>
    <t>ヨシミエスカーラフットボールクラブ</t>
  </si>
  <si>
    <t>YOSHIMI ESCALA FOOTBALL CLUB</t>
  </si>
  <si>
    <t>寄居四十雀サッカークラブ</t>
  </si>
  <si>
    <t>ヨリイシジュウカラサッカークラブ</t>
  </si>
  <si>
    <t>YORII SHIJUUKARA SOCCER CLUB</t>
  </si>
  <si>
    <t>ＦＣ浦和シニア</t>
  </si>
  <si>
    <t>エフシーウラワシニア</t>
  </si>
  <si>
    <t>fc urawa senior</t>
  </si>
  <si>
    <t>熊谷ブーメラン</t>
  </si>
  <si>
    <t>クマガヤブーメラン</t>
  </si>
  <si>
    <t>kumagayaboomerann</t>
  </si>
  <si>
    <t>東松山オールドパワーズ</t>
  </si>
  <si>
    <t>ヒガシマツヤマオールドパワーズ</t>
  </si>
  <si>
    <t>戸田シニアサッカークラブ</t>
  </si>
  <si>
    <t>トダシニアサッカークラブ</t>
  </si>
  <si>
    <t>todaseniorsoccerclub</t>
  </si>
  <si>
    <t>東松山ペレーニアＦＣ</t>
  </si>
  <si>
    <t>ヒガシマツヤマペレーニア</t>
  </si>
  <si>
    <t>higashimatuyamapelenia</t>
  </si>
  <si>
    <t>小川スーパースター・ユナイテッド</t>
  </si>
  <si>
    <t>オガワスーパースターユナイテッド</t>
  </si>
  <si>
    <t>OGAWA SUPERSTAR UNITED</t>
  </si>
  <si>
    <t>川越シニアサッカークラブ</t>
  </si>
  <si>
    <t>カワゴエシニアサッカークラブ</t>
  </si>
  <si>
    <t>kawagoeseniorsoccerclub</t>
  </si>
  <si>
    <t>本庄アイベックス</t>
  </si>
  <si>
    <t>ホンジョウアイベックス</t>
  </si>
  <si>
    <t>honjoibex</t>
  </si>
  <si>
    <t>セレソン所沢シニア</t>
  </si>
  <si>
    <t>セレソントコロザワシニア</t>
  </si>
  <si>
    <t>sele??o Tokorozawa Senior</t>
  </si>
  <si>
    <t>ＮＴＴシニア</t>
  </si>
  <si>
    <t>エヌティティシニア</t>
  </si>
  <si>
    <t>nttsinia</t>
  </si>
  <si>
    <t>川口シニアフットボールクラブ</t>
  </si>
  <si>
    <t>カワグチシニアフットボールクラブ</t>
  </si>
  <si>
    <t>KAWAGUCHI SENIOR FOOTBALL CLUB</t>
  </si>
  <si>
    <t>行田グレイトティット</t>
  </si>
  <si>
    <t>ギョウダグレイトティット</t>
  </si>
  <si>
    <t>GYODAGREATTIT</t>
  </si>
  <si>
    <t>深谷ＳＦＣフェニックス</t>
  </si>
  <si>
    <t>フカヤＳＦＣフェニックス</t>
  </si>
  <si>
    <t>fukayaSFCphenix</t>
  </si>
  <si>
    <t>秩父四十雀サッカークラブ</t>
  </si>
  <si>
    <t>チチブシジュウガラサッカークラブ</t>
  </si>
  <si>
    <t>chichibushizyuugara soccerclub</t>
  </si>
  <si>
    <t>熊谷セントラル蹴毬団</t>
  </si>
  <si>
    <t>クマガヤセントラルケマリダン</t>
  </si>
  <si>
    <t>kumagayacentralkemaridan</t>
  </si>
  <si>
    <t>東春７２シニア</t>
  </si>
  <si>
    <t>トウシュン７２シニア</t>
  </si>
  <si>
    <t>Toushun72Senior</t>
  </si>
  <si>
    <t>草加ジュニアフットボールクラブプライマリー</t>
  </si>
  <si>
    <t>ソウカジュニアフットボールクラブプライマリー</t>
  </si>
  <si>
    <t>sokajuniorfootballclubprimary</t>
  </si>
  <si>
    <t>鴻巣ＵＮＩＴＥＤ</t>
  </si>
  <si>
    <t>コウノスユナイテッド</t>
  </si>
  <si>
    <t>konosuunited</t>
  </si>
  <si>
    <t>蕨シニアサッカークラブ</t>
  </si>
  <si>
    <t>ワラビシニアサッカークラブ</t>
  </si>
  <si>
    <t>warabi senior soccer club</t>
  </si>
  <si>
    <t>アゲオネオフットボールクラブ</t>
  </si>
  <si>
    <t>ageoneofootballclub</t>
  </si>
  <si>
    <t>大宮シニアＦＣ</t>
  </si>
  <si>
    <t>オオミヤシニアエフシー</t>
  </si>
  <si>
    <t>omiya senior FC</t>
  </si>
  <si>
    <t>開智中学高等学校一貫部</t>
  </si>
  <si>
    <t>カイチチュウガクコウトウガッコウイッカンブ</t>
  </si>
  <si>
    <t>kaichi junior and senior high school</t>
  </si>
  <si>
    <t>所沢市立富岡中学校</t>
  </si>
  <si>
    <t>トコロザワシリツトミオカチユウガツコウ</t>
  </si>
  <si>
    <t>TOKOROZAWA TOMIOKA JUNIOR HIGH SCHOOL FC</t>
  </si>
  <si>
    <t>0420769</t>
  </si>
  <si>
    <t>埼玉県草加市立花栗中学校</t>
  </si>
  <si>
    <t>サイタマケンソウカシリツハナグリチュウガッコウ</t>
  </si>
  <si>
    <t>SOKA HANAGURI J.H.S</t>
  </si>
  <si>
    <t>0421782</t>
  </si>
  <si>
    <t>埼玉平成中学校</t>
  </si>
  <si>
    <t>サイタマヘイセイチュウガッコウ</t>
  </si>
  <si>
    <t>SAITAMAHEISEI JUNIOR HIGH SCHOOL</t>
  </si>
  <si>
    <t>0422053</t>
  </si>
  <si>
    <t>埼玉県立大学　サッカー部</t>
  </si>
  <si>
    <t>サイタマケンリツダイガクサッカーブ</t>
  </si>
  <si>
    <t>saitamakennritudaigakusakka-bu</t>
  </si>
  <si>
    <t>ＥＮＤＬＥＳＳ　Ｆ．Ｃ．</t>
  </si>
  <si>
    <t>エンドレスフットボールクラブ</t>
  </si>
  <si>
    <t>ENDLESS Football Club</t>
  </si>
  <si>
    <t>ＢｕｓｔＡｌｉｅｎｓ</t>
  </si>
  <si>
    <t>バストエイリアンズ</t>
  </si>
  <si>
    <t>BustAlines</t>
  </si>
  <si>
    <t>ローズフットボールクラブ</t>
  </si>
  <si>
    <t>ROSE FC</t>
  </si>
  <si>
    <t>桜蹴</t>
  </si>
  <si>
    <t>オウシュウ</t>
  </si>
  <si>
    <t>見沼フットボールクラブ</t>
  </si>
  <si>
    <t>ミヌマフットボールクラブ</t>
  </si>
  <si>
    <t>MINUMA FC</t>
  </si>
  <si>
    <t>ＥＳＰＯＲＴＥ　ＣＬＵＢＥ　ＪＯＧＡＤＯＲ</t>
  </si>
  <si>
    <t>エスポルチクルーベジョガドール</t>
  </si>
  <si>
    <t>ESPORTECLUBEJOGADOR</t>
  </si>
  <si>
    <t>ＧＲＡＮＤＥ　ＦＯＯＴＢＡＬＬ　ＣＬＵＢ</t>
  </si>
  <si>
    <t>グランデフットボールクラブ</t>
  </si>
  <si>
    <t>GRANDE FOOTABALL CLUB</t>
  </si>
  <si>
    <t>１ＦＣ川越水上公園</t>
  </si>
  <si>
    <t>ワンエフシーカワゴエスイジョウコウエン</t>
  </si>
  <si>
    <t>1FCKAWAGOESUIJOKOEN</t>
  </si>
  <si>
    <t>越谷シリウスフットボールクラブジュニアユース</t>
  </si>
  <si>
    <t>コシガヤシリウスフットボールクラブジュニアユース</t>
  </si>
  <si>
    <t>KOSHIGAYA SIRIUS FOOTBALL CLUB JUNIOR YOUTH</t>
  </si>
  <si>
    <t>バルカン上尾</t>
  </si>
  <si>
    <t>バルカンアゲオ</t>
  </si>
  <si>
    <t>valcanageo</t>
  </si>
  <si>
    <t>その他(第3種)</t>
  </si>
  <si>
    <t>鶴ヶ島サッカークラブ</t>
  </si>
  <si>
    <t>ツルガシマサッカークラブ</t>
  </si>
  <si>
    <t>tsurugashima soccerclub</t>
  </si>
  <si>
    <t>ＦＣ　ソウル　トコロザワ</t>
  </si>
  <si>
    <t>エフシーソウルトコロザワ</t>
  </si>
  <si>
    <t>FC SOUL TOKOROZAWA</t>
  </si>
  <si>
    <t>DAITO BUNKA UNIVERSITY WOMAN FOOTBALL CLUB</t>
  </si>
  <si>
    <t>熊谷ニューセントラルＦＣ</t>
  </si>
  <si>
    <t>クマガヤニューセントラルフットボールクラブ</t>
  </si>
  <si>
    <t>KUMAGAYA NEW CENTRAL FOOTBALL CLUB</t>
  </si>
  <si>
    <t>ＦＣフレンズ</t>
  </si>
  <si>
    <t>エフシーフレンズ</t>
  </si>
  <si>
    <t>FCFRIENDS</t>
  </si>
  <si>
    <t>Ｆ．Ｃ．Ｋ’Ｓ</t>
  </si>
  <si>
    <t>エフシーケイズ</t>
  </si>
  <si>
    <t>fcks</t>
  </si>
  <si>
    <t>Ｑたまズ</t>
  </si>
  <si>
    <t>キュウタマズ</t>
  </si>
  <si>
    <t>q-tama's</t>
  </si>
  <si>
    <t>ＡＣ　ＪＵＬＥＳ　ＲＩＭＥＴ</t>
  </si>
  <si>
    <t>エーシージュールリメ</t>
  </si>
  <si>
    <t>AC JULES RIMET</t>
  </si>
  <si>
    <t>山村国際高等学校</t>
  </si>
  <si>
    <t>ヤマムラコクサイコウトウガッコウ</t>
  </si>
  <si>
    <t>YAMAMURAKOKUSAI</t>
  </si>
  <si>
    <t>安行フットボールクラブ</t>
  </si>
  <si>
    <t>アンギョウフットボールクラブ</t>
  </si>
  <si>
    <t>angyofc</t>
  </si>
  <si>
    <t>ＦＣチベッタ</t>
  </si>
  <si>
    <t>エフシーチベッタ</t>
  </si>
  <si>
    <t>F.C.CIVETTA</t>
  </si>
  <si>
    <t>ＮＫＦＣ</t>
  </si>
  <si>
    <t>エヌケーエフシー</t>
  </si>
  <si>
    <t>NKFC</t>
  </si>
  <si>
    <t>さいたま市立浦和高等学校女子サッカー部</t>
  </si>
  <si>
    <t>サイタマシリツウラワコウトウガッコウジョシサッカーブ</t>
  </si>
  <si>
    <t>saitama municipal urawa high school jyoshi soccer club</t>
  </si>
  <si>
    <t>新明シニアサッカークラブ</t>
  </si>
  <si>
    <t>シンメイシニアサッカークラブ</t>
  </si>
  <si>
    <t>Shinmei senior  SC</t>
  </si>
  <si>
    <t>妻沼西中学校</t>
  </si>
  <si>
    <t>メヌマニシチュウガッコウ</t>
  </si>
  <si>
    <t>MENUMANISHICHUUGATTKOU</t>
  </si>
  <si>
    <t>0434720</t>
  </si>
  <si>
    <t>大利根中学校</t>
  </si>
  <si>
    <t>オオトネチュウガッコウ</t>
  </si>
  <si>
    <t>OHTONE</t>
  </si>
  <si>
    <t>0434753</t>
  </si>
  <si>
    <t>蓮田南中学校サッカー部</t>
  </si>
  <si>
    <t>ハスダミナミチュウガッコウサッカーブ</t>
  </si>
  <si>
    <t>HASUDAMINAMI JUNIOR HIGH SCHOOL</t>
  </si>
  <si>
    <t>0434764</t>
  </si>
  <si>
    <t>小鹿野中学校サッカー部</t>
  </si>
  <si>
    <t>オガノチュウガッコウサッカーブ</t>
  </si>
  <si>
    <t>ogano jh fc</t>
  </si>
  <si>
    <t>0434775</t>
  </si>
  <si>
    <t>入間郡毛呂山町立川角中学校サッカー部</t>
  </si>
  <si>
    <t>イルマグンモロヤマチョウリツカワカドチュウガッコウサッカーブ</t>
  </si>
  <si>
    <t>KAWAKADO JUNIOR HIGH SCHOOL FC</t>
  </si>
  <si>
    <t>0434955</t>
  </si>
  <si>
    <t>所沢市立所沢中学校サッカー部</t>
  </si>
  <si>
    <t>トコロザワシリツトコロザワチュウガッコウサッカーブ</t>
  </si>
  <si>
    <t>TOKOROZAWA  JUNIOR  HIGH  SCHOOL  FC</t>
  </si>
  <si>
    <t>0434977</t>
  </si>
  <si>
    <t>志木市立宗岡第二中学校</t>
  </si>
  <si>
    <t>シキシリツムネオカダイニチュガッコウ</t>
  </si>
  <si>
    <t>MUNEOKADAINI  JUNIOR HIGH SCHOOL FC</t>
  </si>
  <si>
    <t>0435035</t>
  </si>
  <si>
    <t>hanasakitokuharu</t>
  </si>
  <si>
    <t>尚美学園大学女子サッカー部</t>
  </si>
  <si>
    <t>ショウビガクエンダイガクジョシサッカーブ</t>
  </si>
  <si>
    <t>SHOBI UNIVERCITY</t>
  </si>
  <si>
    <t>ＨＦＣスポーツ少年団</t>
  </si>
  <si>
    <t>エイチエフシースポーツショウネンダン</t>
  </si>
  <si>
    <t>HFCSS</t>
  </si>
  <si>
    <t>ＦＣ　ＬＩＥＮ</t>
  </si>
  <si>
    <t>エフシーリアン</t>
  </si>
  <si>
    <t>fc lien</t>
  </si>
  <si>
    <t>防衛医科大学校サッカー部</t>
  </si>
  <si>
    <t>ボウエイイカダイガッコウサッカーブ</t>
  </si>
  <si>
    <t>National Defense Medical College Soccer Club</t>
  </si>
  <si>
    <t>八潮シニアＦＣ</t>
  </si>
  <si>
    <t>ヤシオシニアエフシー</t>
  </si>
  <si>
    <t>YASHIOSHINIAFC</t>
  </si>
  <si>
    <t>細田学園高等学校サッカー部</t>
  </si>
  <si>
    <t>ホソダガクエンコウトウガッコウサッカーブ</t>
  </si>
  <si>
    <t>hosodagakuen</t>
  </si>
  <si>
    <t>チ－ム　ぬれせん</t>
  </si>
  <si>
    <t>チームヌレセン</t>
  </si>
  <si>
    <t>teamnuresen</t>
  </si>
  <si>
    <t>越谷シリウスフットボールクラブ</t>
  </si>
  <si>
    <t>コシガヤシリウスフットボールクラブ</t>
  </si>
  <si>
    <t>KOSHIGAYA SIRIUS FOOTBALL CLUB</t>
  </si>
  <si>
    <t>Ｍ・Ｓ・Ｃサッカークラブ</t>
  </si>
  <si>
    <t>エムエスシーサッカークラブ</t>
  </si>
  <si>
    <t>mscsoccerclub</t>
  </si>
  <si>
    <t>プログレッソサッカークラブ</t>
  </si>
  <si>
    <t xml:space="preserve">progresso </t>
  </si>
  <si>
    <t>ＦＣ田島</t>
  </si>
  <si>
    <t>エフシータジマ</t>
  </si>
  <si>
    <t>fctajima</t>
  </si>
  <si>
    <t>セレブロＦＣジュニアユース</t>
  </si>
  <si>
    <t>セレブロフットボールクラブジュニアユース</t>
  </si>
  <si>
    <t>CERE-BRO FC Junor youth</t>
  </si>
  <si>
    <t>ＦＣ　ＫＡＳＵＫＡＢＥ</t>
  </si>
  <si>
    <t>FC KASUKABE</t>
  </si>
  <si>
    <t>ＦＣ八潮ジュニアユース</t>
  </si>
  <si>
    <t>エフシーヤシオジュニアユース</t>
  </si>
  <si>
    <t>FCyashio</t>
  </si>
  <si>
    <t>ＦＣ熊谷ＰＲＥＣＩＯＳＡ</t>
  </si>
  <si>
    <t>エフシークマガヤプレシオッサ</t>
  </si>
  <si>
    <t>FC KUMAGAYA PRECIOSA</t>
  </si>
  <si>
    <t>越谷レディースファミリー</t>
  </si>
  <si>
    <t>コシガヤレディースファミリー</t>
  </si>
  <si>
    <t xml:space="preserve">koshigaya lady`s family </t>
  </si>
  <si>
    <t>大宮ＦＣエンジェルス０５</t>
  </si>
  <si>
    <t>オオミヤエフシーエンジェルス０５</t>
  </si>
  <si>
    <t>oomiyaFCangels05</t>
  </si>
  <si>
    <t>タルタルーガフットボールクラブ</t>
  </si>
  <si>
    <t>TARTARUGA FOOTBALL CLUB</t>
  </si>
  <si>
    <t>ＦＣ　ａｒｃｏ　ｉｒｉｓ　ｍ</t>
  </si>
  <si>
    <t>フットボールクラブアルコイリス</t>
  </si>
  <si>
    <t>fc arco iris m</t>
  </si>
  <si>
    <t>神根フットボールクラブ</t>
  </si>
  <si>
    <t>カミネフットボールクラブ</t>
  </si>
  <si>
    <t>KAMINEFOOTBALLCLUB</t>
  </si>
  <si>
    <t>東松山ペレーニアフットボールクラブ　ジュニア</t>
  </si>
  <si>
    <t>ヒガシマツヤマペレーニアフットボールクラブ　ジュニア</t>
  </si>
  <si>
    <t>higashimatsuyama pelenia football club jr</t>
  </si>
  <si>
    <t>エースサッカークラブ</t>
  </si>
  <si>
    <t>ACE  soccer  club</t>
  </si>
  <si>
    <t>Ｏ．Ｓ　ＲＡＶＯＮＡ</t>
  </si>
  <si>
    <t>オーエスラボーナ</t>
  </si>
  <si>
    <t>o.s Ravona</t>
  </si>
  <si>
    <t>吉見ＴフレッサＦ．Ｃ．</t>
  </si>
  <si>
    <t>ヨシミティーフレッサフットボールクラブ</t>
  </si>
  <si>
    <t>飯能ＫＡＴＯＨ．ＦＣ</t>
  </si>
  <si>
    <t>ハンノウカトウエフシー</t>
  </si>
  <si>
    <t>hannnoukatohefusi</t>
  </si>
  <si>
    <t>urawajitsugyougakuenkoutougakkou</t>
  </si>
  <si>
    <t>草加市立栄中学校サッカー部</t>
  </si>
  <si>
    <t>ソウカシリツサカエチュウガッコウサッカーブ</t>
  </si>
  <si>
    <t>SOKA SAKAE JUNIOR HIGH SCHOOL TEAM</t>
  </si>
  <si>
    <t>0447050</t>
  </si>
  <si>
    <t>ケイアイ　ラッフィナート</t>
  </si>
  <si>
    <t>Keiai raffinato</t>
  </si>
  <si>
    <t>さいたま市立大宮西中学校</t>
  </si>
  <si>
    <t>サイタマシリツオオミヤニシチュウガッコウ</t>
  </si>
  <si>
    <t>SAITAMASIRITUOOMIYANISITYUUGAKKOU</t>
  </si>
  <si>
    <t>0447959</t>
  </si>
  <si>
    <t>秩父市立尾田蒔中学校サッカー部</t>
  </si>
  <si>
    <t>チチブシリツオダマキチュウガッコウサッカーブ</t>
  </si>
  <si>
    <t>odamaki jhs</t>
  </si>
  <si>
    <t>0448893</t>
  </si>
  <si>
    <t>ふじみ野市立葦原中学校</t>
  </si>
  <si>
    <t>フジミノシリツアシハラチュウガッコウ</t>
  </si>
  <si>
    <t>FUJIMINO ASHIHARA JUNIOR HIGH SCHOOL</t>
  </si>
  <si>
    <t>0448938</t>
  </si>
  <si>
    <t>川口市立幸並中学校サッカー部</t>
  </si>
  <si>
    <t>カワグチシリツサチナミチュウガッコウサッカーブ</t>
  </si>
  <si>
    <t>KAWAGUCHI SACHINAMI JUNIOR HIGI SCHOOL FC</t>
  </si>
  <si>
    <t>0449232</t>
  </si>
  <si>
    <t>鴻巣南中学校サッカー部</t>
  </si>
  <si>
    <t>コウノスミナミチュウガッコウサッカーブ</t>
  </si>
  <si>
    <t>Konosu Minami Junior High School FC</t>
  </si>
  <si>
    <t>0449243</t>
  </si>
  <si>
    <t>埼玉県立所沢高等学校女子サッカー部</t>
  </si>
  <si>
    <t>サイタマケンリツトコロザワコウトウガッコウジョシサッカーブ</t>
  </si>
  <si>
    <t>tokorozawa high school girls soccer club</t>
  </si>
  <si>
    <t>草加市立青柳中学校サッカー部</t>
  </si>
  <si>
    <t>ソウカシリツアオヤギチュウガッコウサッカーブ</t>
  </si>
  <si>
    <t xml:space="preserve">soka aoyagi junior high school </t>
  </si>
  <si>
    <t>0450762</t>
  </si>
  <si>
    <t>草加市立川柳中学校</t>
  </si>
  <si>
    <t>ソウカシリツカワヤギチュウガッコウ</t>
  </si>
  <si>
    <t>KAWAYAGI JHS</t>
  </si>
  <si>
    <t>0450920</t>
  </si>
  <si>
    <t>草加フットボールクラブ・アルファー</t>
  </si>
  <si>
    <t>ソウカフットボールクラブアルファー</t>
  </si>
  <si>
    <t>SOKA FC ALPHA</t>
  </si>
  <si>
    <t>ＦＣレッドスコアーズ</t>
  </si>
  <si>
    <t>エフシーレッドスコアーズ</t>
  </si>
  <si>
    <t>fcredscores</t>
  </si>
  <si>
    <t>白岡ＳＣＬ</t>
  </si>
  <si>
    <t>シラオカエスシーエル</t>
  </si>
  <si>
    <t>shiraokascl</t>
  </si>
  <si>
    <t>ＦＣ　Ｃｏｉｃｏｑ</t>
  </si>
  <si>
    <t>エフシーコイコック</t>
  </si>
  <si>
    <t>FC Coicoq</t>
  </si>
  <si>
    <t>山村学園高等学校サッカー部</t>
  </si>
  <si>
    <t>ヤマムラガクエンコウトウガッコウサッカーブ</t>
  </si>
  <si>
    <t>yamamuragakuenkoutougakkousakkabu</t>
  </si>
  <si>
    <t>ＦＥＬＥＺＡ　ＦＯＯＴＢＡＬＬ　ＣＬＵＢ</t>
  </si>
  <si>
    <t>フェレザフットボールクラブ</t>
  </si>
  <si>
    <t>FELEZA FOOTBALL CLUB</t>
  </si>
  <si>
    <t>ＳＳ　ＣＡＮＴＥＲＡ</t>
  </si>
  <si>
    <t>エスエスカンテラ</t>
  </si>
  <si>
    <t>ss cantera</t>
  </si>
  <si>
    <t>ＦＣ小手指</t>
  </si>
  <si>
    <t>エフシーコテサシ</t>
  </si>
  <si>
    <t>FC KOTESASHI</t>
  </si>
  <si>
    <t>都精工ＦＣ（ＭＦＣ）</t>
  </si>
  <si>
    <t>ミヤコセイコウエフシー（エムエフシー）</t>
  </si>
  <si>
    <t>MiyakoseikouFC(MFC)</t>
  </si>
  <si>
    <t>埼玉県立上尾鷹の台高等学校</t>
  </si>
  <si>
    <t>サイタマケンリツアゲオタカノダイコウトウガッコウ</t>
  </si>
  <si>
    <t>saitamakenrituageotakanodaikoutougakkou</t>
  </si>
  <si>
    <t>セレザＦＣ</t>
  </si>
  <si>
    <t>セレザエフシー</t>
  </si>
  <si>
    <t>CEREJA FOOTBALL CLUB</t>
  </si>
  <si>
    <t>白岡総合第一スポーツ少年団</t>
  </si>
  <si>
    <t>シラオカソウゴウダイイチスポーツショウネンダン</t>
  </si>
  <si>
    <t>shiraoka sougou daiichi sports syounendan</t>
  </si>
  <si>
    <t>やまとサッカークラブ</t>
  </si>
  <si>
    <t>ヤマトサッカークラブ</t>
  </si>
  <si>
    <t>YamatoSC</t>
  </si>
  <si>
    <t>稲荷ＦＣ</t>
  </si>
  <si>
    <t>イナリエフシー</t>
  </si>
  <si>
    <t>INARIFC</t>
  </si>
  <si>
    <t>ＦＣレガーラ</t>
  </si>
  <si>
    <t>エフシーレガーラ</t>
  </si>
  <si>
    <t>fc llegara</t>
  </si>
  <si>
    <t>妻沼東中学校</t>
  </si>
  <si>
    <t>メヌマヒガシチュウガッコウ</t>
  </si>
  <si>
    <t>加須市立加須東中学校</t>
  </si>
  <si>
    <t>カゾシリツカゾヒガシチュウガッコウ</t>
  </si>
  <si>
    <t>KAZOHIGASI  JUNIOR  HIGH  SCHOOL  SOCCER CLUB</t>
  </si>
  <si>
    <t>0460774</t>
  </si>
  <si>
    <t>八潮市立八條中学校</t>
  </si>
  <si>
    <t>ヤシオシリツハチジョウチュウガッコウ</t>
  </si>
  <si>
    <t>YASHIO HACHIJYO HIGH SCHOOL</t>
  </si>
  <si>
    <t>0460785</t>
  </si>
  <si>
    <t>さいたま市立浦和中学校サッカー部</t>
  </si>
  <si>
    <t>サイタマシリツウラワチュウガッコウ</t>
  </si>
  <si>
    <t>MUNICIPAL URAWA JUNIOR HIGH SCHOOL FC</t>
  </si>
  <si>
    <t>0460853</t>
  </si>
  <si>
    <t>本庄東高等学校附属中学校</t>
  </si>
  <si>
    <t>ホンジョウヒガシコウトウガッコウフゾクチュウガッコウ</t>
  </si>
  <si>
    <t>HONJO EAST HIGH SCHOOL JUNIOR HIGH SCHOOL</t>
  </si>
  <si>
    <t>0462057</t>
  </si>
  <si>
    <t>狭山ヶ丘高校女子サッカー部</t>
  </si>
  <si>
    <t>サヤマガオカコウコウジョシサッカーブ</t>
  </si>
  <si>
    <t>sayamagaokakoukoujyosisakka-bu</t>
  </si>
  <si>
    <t>三芳東中学校</t>
  </si>
  <si>
    <t>ミヨシヒガシチュウガッコウ</t>
  </si>
  <si>
    <t>MIYOSHIHIGASHI JHS</t>
  </si>
  <si>
    <t>0463452</t>
  </si>
  <si>
    <t>小鹿野バンビーノユナイテッド</t>
  </si>
  <si>
    <t>オガノバンビーノユナイテッド</t>
  </si>
  <si>
    <t>OGANO BAMBINO UNITED</t>
  </si>
  <si>
    <t>市高クラブ</t>
  </si>
  <si>
    <t>シコウクラブ</t>
  </si>
  <si>
    <t>shikou club</t>
  </si>
  <si>
    <t>フットボールクラブアウル</t>
  </si>
  <si>
    <t>FOOTBALL CLUB OWL</t>
  </si>
  <si>
    <t>加須ジュニアユース</t>
  </si>
  <si>
    <t>カゾジュニアユース</t>
  </si>
  <si>
    <t>KAZO Jr Foot ball club</t>
  </si>
  <si>
    <t>クラブ　レジェンド熊谷</t>
  </si>
  <si>
    <t>クラブレジェンドクマガヤ</t>
  </si>
  <si>
    <t xml:space="preserve">CLUB LEGEND KUMAGAYA </t>
  </si>
  <si>
    <t>faculty</t>
  </si>
  <si>
    <t>大宮ジャックＳＣスポーツ少年団</t>
  </si>
  <si>
    <t>オオミヤジャックエスシースポーツショウネンダン</t>
  </si>
  <si>
    <t>omiya jack sc</t>
  </si>
  <si>
    <t>ＦＣリトルイレブン</t>
  </si>
  <si>
    <t>エフシーリトルイレブン</t>
  </si>
  <si>
    <t>fc littleeleven</t>
  </si>
  <si>
    <t>芝スポーツセンター芝南サッカークラブ</t>
  </si>
  <si>
    <t>シバスポーツセンターシバナンサッカークラブ</t>
  </si>
  <si>
    <t>SHIBANAN Soccer Club</t>
  </si>
  <si>
    <t>ＡＬＡＤ’ＯＲＯ</t>
  </si>
  <si>
    <t>アラディオーロ</t>
  </si>
  <si>
    <t>ALAD'ORO</t>
  </si>
  <si>
    <t>あけぼのＦＣ</t>
  </si>
  <si>
    <t>アケボノエフシー</t>
  </si>
  <si>
    <t>akebonofc</t>
  </si>
  <si>
    <t>すみれＦＣ　Ｎｏｒｔｅ　ｊｒ</t>
  </si>
  <si>
    <t>スミレエフシーノルテジュニア</t>
  </si>
  <si>
    <t>Sumire FC Norte jr</t>
  </si>
  <si>
    <t>埼玉県立本庄高等学校</t>
  </si>
  <si>
    <t>サイタマケンリツホンジョウコウトウガッコウ</t>
  </si>
  <si>
    <t>saitamakenrituhonjyoukoukou</t>
  </si>
  <si>
    <t>クマガヤＳＣシニア</t>
  </si>
  <si>
    <t>クマガヤスポーツサッカークラブシニア</t>
  </si>
  <si>
    <t>KUMAGAYASPORTSSOCCERCLUBSENIOA</t>
  </si>
  <si>
    <t>ＦＣ　ＡＳＡＳ　上尾</t>
  </si>
  <si>
    <t>エフシーアーザスアゲオ</t>
  </si>
  <si>
    <t>FC ASAS AGEO</t>
  </si>
  <si>
    <t>幸手桜ＦＣ</t>
  </si>
  <si>
    <t>サッテサクラエフシー</t>
  </si>
  <si>
    <t>sattesakura11</t>
  </si>
  <si>
    <t>ＧＯＺ</t>
  </si>
  <si>
    <t>ゴズ</t>
  </si>
  <si>
    <t>GOZ</t>
  </si>
  <si>
    <t>高砂ＦＣ</t>
  </si>
  <si>
    <t>タカサゴエフシー</t>
  </si>
  <si>
    <t>TAKASAGO FC</t>
  </si>
  <si>
    <t>ＦＣ　Ｍ＆Ｌ</t>
  </si>
  <si>
    <t>エフシーエムアンドエル</t>
  </si>
  <si>
    <t>FC M&amp;L</t>
  </si>
  <si>
    <t>東京国際大学　ＦＣ</t>
  </si>
  <si>
    <t>トウキョウコクサイダイガク　エフシー</t>
  </si>
  <si>
    <t>TOKYO INTERNATIONAL UNIVERSITY FC</t>
  </si>
  <si>
    <t>ＦＣアスルアーザ狭山</t>
  </si>
  <si>
    <t>エフシーアスルアーザサヤマ</t>
  </si>
  <si>
    <t>FCAzulAsaSayama</t>
  </si>
  <si>
    <t>エクセレントフィートＦＣ</t>
  </si>
  <si>
    <t>エクセレントフィートエフシー</t>
  </si>
  <si>
    <t>Excellent Feet FC</t>
  </si>
  <si>
    <t>ヴィオレータフットボールクラブ　</t>
  </si>
  <si>
    <t>violeta football club</t>
  </si>
  <si>
    <t>セレブロＦＣジュニア</t>
  </si>
  <si>
    <t>セレブロエフシージュニア</t>
  </si>
  <si>
    <t>CERE-BRO FC Jr</t>
  </si>
  <si>
    <t>杉戸ゼウシスＦＣ</t>
  </si>
  <si>
    <t>スギトゼウシスエフシー</t>
  </si>
  <si>
    <t>Zeusis FC</t>
  </si>
  <si>
    <t>ＪＡＣＰＡ埼玉ＦＣ</t>
  </si>
  <si>
    <t>ジャクパサイタマフットボールクラブ</t>
  </si>
  <si>
    <t>JACPA SAITAMA FC</t>
  </si>
  <si>
    <t>鴻巣蹴王会</t>
  </si>
  <si>
    <t>コウノスシュウオウカイ</t>
  </si>
  <si>
    <t>konosusyuoukai</t>
  </si>
  <si>
    <t>三郷市立栄中学校</t>
  </si>
  <si>
    <t>ミサトシリツサカエチュウガッコウ</t>
  </si>
  <si>
    <t>misato sakae junior high school</t>
  </si>
  <si>
    <t>0481777</t>
  </si>
  <si>
    <t>三郷市立南中学校</t>
  </si>
  <si>
    <t>ミサトシリツミナミチュウガッコウ</t>
  </si>
  <si>
    <t>SOUTH MISATO FC</t>
  </si>
  <si>
    <t>0481788</t>
  </si>
  <si>
    <t>草加市立瀬崎中学校</t>
  </si>
  <si>
    <t>ソウカシリツセザキチュウガッコウ</t>
  </si>
  <si>
    <t>sokasezaki</t>
  </si>
  <si>
    <t>0482396</t>
  </si>
  <si>
    <t>ＦＣ　Ｃｏｉｃｏｑ　シニア</t>
  </si>
  <si>
    <t>エフシー　コイコック　シニア</t>
  </si>
  <si>
    <t>FC Coicoq senior</t>
  </si>
  <si>
    <t>浦和レッドダイヤモンズレディースジュニアユース</t>
  </si>
  <si>
    <t>ウラワレッドダイヤモンズレディースジュニアユース</t>
  </si>
  <si>
    <t>URAWA RED DIAMONDS LADIES JUNIOR YOUTH</t>
  </si>
  <si>
    <t>大妻嵐山高等学校　サッカー部</t>
  </si>
  <si>
    <t>オオツマランザンコウトウガッコウ　サッカーブ</t>
  </si>
  <si>
    <t>Otsuma Ranzan High School Football Club</t>
  </si>
  <si>
    <t>埼玉県立大宮武蔵野高等学校女子サッカー部</t>
  </si>
  <si>
    <t>サイタマケンリツオオミヤムサシノコウトウガッコウジョシサッカーブ</t>
  </si>
  <si>
    <t>OMIYAMUSASHINO HIGH SCHOOL GIRL'S FC</t>
  </si>
  <si>
    <t>ドルフィンズＳＣ</t>
  </si>
  <si>
    <t>ドルフィンズエスシー</t>
  </si>
  <si>
    <t>DolphinsSC</t>
  </si>
  <si>
    <t>Ｔｏｋｙｏ　Ｉｎｔｅｒｎａｔｉｏｎａｌ　Ｕｎｉｖｅｒｓｉｔｙ</t>
  </si>
  <si>
    <t>トウキョウインターナショナルユニバーシティー</t>
  </si>
  <si>
    <t>TOKYO INTERNATIONAL UNIVERSITY</t>
  </si>
  <si>
    <t>ＭＥＮＵＭＡ水友ＦＣ．ＮＥＸＴ</t>
  </si>
  <si>
    <t>メヌマスイトモエフシーネクスト</t>
  </si>
  <si>
    <t>menumasuitomofc.next</t>
  </si>
  <si>
    <t>東京国際大学女子サッカー部</t>
  </si>
  <si>
    <t>トウキョウコクサイダイガクジョシサッカーブ</t>
  </si>
  <si>
    <t>TOKYO INTERNATIONAL UNIVERSITY WOMEN'S SOCCER</t>
  </si>
  <si>
    <t>Aventurakawaguchi</t>
  </si>
  <si>
    <t>埼玉オーステンＳＣジュニア</t>
  </si>
  <si>
    <t>サイタマオーステンエスシージュニア</t>
  </si>
  <si>
    <t>saitamaostenscjr</t>
  </si>
  <si>
    <t>熊谷フォルゴーレサッカークラブ</t>
  </si>
  <si>
    <t>クマガヤフォルゴーレサッカークラブ</t>
  </si>
  <si>
    <t>kumagaya forgoale soccer club</t>
  </si>
  <si>
    <t>Ａｉｔｏｋｕ　ＲｅｅＭ　Ｆｏｏｔｂａｌｌ　Ｃｌｕｂ</t>
  </si>
  <si>
    <t>Aitoku ReeM Football Club</t>
  </si>
  <si>
    <t>ＫＩＤＳＰＯＷＥＲ．ＳＣ</t>
  </si>
  <si>
    <t>キッズパワーサッカークラブ</t>
  </si>
  <si>
    <t>KIDSPOWER.SC</t>
  </si>
  <si>
    <t>加須市立加須北中学校</t>
  </si>
  <si>
    <t>カゾシリツカゾキタチュウガッコウ</t>
  </si>
  <si>
    <t>KAZO KITA JUNIOR HIGH SCHOOL</t>
  </si>
  <si>
    <t>0491082</t>
  </si>
  <si>
    <t>三郷市立北中学校</t>
  </si>
  <si>
    <t>ミサトシリツキタチュウガッコウ</t>
  </si>
  <si>
    <t>MISATO KITA JHS</t>
  </si>
  <si>
    <t>0491105</t>
  </si>
  <si>
    <t>昌平中学校サッカー部</t>
  </si>
  <si>
    <t>シヨウヘイチュウガッコウサッカーブ</t>
  </si>
  <si>
    <t>SHOHEI  JUNIOR HIGH SCHOOl SOCCER CLUB</t>
  </si>
  <si>
    <t>0491116</t>
  </si>
  <si>
    <t>ワイルド☆ナイツ　フットボール（塾）</t>
  </si>
  <si>
    <t>ワイルド　スター　ナイツ　フットボール　ジュク</t>
  </si>
  <si>
    <t xml:space="preserve">waild star knights </t>
  </si>
  <si>
    <t>ＦＣリアル</t>
  </si>
  <si>
    <t>エフシー　リアル</t>
  </si>
  <si>
    <t>FCreal</t>
  </si>
  <si>
    <t>ふじみ野市立花の木中学校</t>
  </si>
  <si>
    <t>フジミノシリツハナノキチュウガッコウ</t>
  </si>
  <si>
    <t>fujimino-shi hananoki junior high school</t>
  </si>
  <si>
    <t>0491778</t>
  </si>
  <si>
    <t>東京農業大学第三高等学校附属中学校</t>
  </si>
  <si>
    <t>トウキョウノウギョウダイガクダイサンコウトウガッコウフゾクチュウガッコウ</t>
  </si>
  <si>
    <t>Tokyo University of Agriculture 3rd JHS</t>
  </si>
  <si>
    <t>0491789</t>
  </si>
  <si>
    <t>ロク　フットボールクラブ</t>
  </si>
  <si>
    <t>東京国際大学　ドリームス</t>
  </si>
  <si>
    <t>トウキョウコクサイダイガク　ドリームス</t>
  </si>
  <si>
    <t>Tokyo International Unibversity dreams</t>
  </si>
  <si>
    <t>ＦＣ．ｆｏｒｚａ</t>
  </si>
  <si>
    <t>エフシーフォルツァ</t>
  </si>
  <si>
    <t>FC forza</t>
  </si>
  <si>
    <t>Ａｒｔｅ　Ｆｏｒｃａ　ＳＣ</t>
  </si>
  <si>
    <t>アルテファルサ　サッカークラブ</t>
  </si>
  <si>
    <t>Arte Forca SC</t>
  </si>
  <si>
    <t>ＦＣ．ＡＲＡＯ</t>
  </si>
  <si>
    <t>エフシー　アラオ</t>
  </si>
  <si>
    <t>FC.ARAO</t>
  </si>
  <si>
    <t>上尾サッカークラブ１９９４</t>
  </si>
  <si>
    <t>アゲオサッカークラブ１９９４</t>
  </si>
  <si>
    <t>ageosoccerclub1994</t>
  </si>
  <si>
    <t>ＴＯＤＡ　ＧＲＡＭＡＤＯ　ＦＯＯＴＢＡＬＬ　ＣＬＵＢ</t>
  </si>
  <si>
    <t>トダ　グラマード　フットボール　クラブ</t>
  </si>
  <si>
    <t>TODA GRAMADO FOOTBALL CLUB</t>
  </si>
  <si>
    <t>文教大学女子サッカー部</t>
  </si>
  <si>
    <t>ブンキョウダイガクジョシサッカーブ</t>
  </si>
  <si>
    <t>Bunkyo University Girls Football Club</t>
  </si>
  <si>
    <t>クマガヤサッカースポーツクラブライラック</t>
  </si>
  <si>
    <t>kumagayasoccersportsclublilac</t>
  </si>
  <si>
    <t>川口リリーズＵ－１５</t>
  </si>
  <si>
    <t>カワグチリリーズＵ－１５</t>
  </si>
  <si>
    <t>kawaguchiririzuU15</t>
  </si>
  <si>
    <t>東大宮エンジェルス</t>
  </si>
  <si>
    <t>ヒガシオオミヤエンジェルス</t>
  </si>
  <si>
    <t>higashioomiyaangels</t>
  </si>
  <si>
    <t>ＥＣ　ＦＵＪＩＭＩＮＯ</t>
  </si>
  <si>
    <t>イーシーフジミノ</t>
  </si>
  <si>
    <t>EC FUJIMINO</t>
  </si>
  <si>
    <t>ストゥレガーレ</t>
  </si>
  <si>
    <t>stregare</t>
  </si>
  <si>
    <t>ＳＰＲＯＪＥＣＴ　Ｆ．Ｃ．</t>
  </si>
  <si>
    <t>エスプロジェクト　エフシー</t>
  </si>
  <si>
    <t>SPROJECT F.C.</t>
  </si>
  <si>
    <t>クラブ与野レディース</t>
  </si>
  <si>
    <t>クラブヨノレディース</t>
  </si>
  <si>
    <t>CYL</t>
  </si>
  <si>
    <t>狭山女子ＦＣ</t>
  </si>
  <si>
    <t>サヤマジョシエフシー</t>
  </si>
  <si>
    <t>sayama girls FC</t>
  </si>
  <si>
    <t>開智未来高等学校</t>
  </si>
  <si>
    <t>カイチミライコウトウガッコウ</t>
  </si>
  <si>
    <t>kaichimiraikoutougakkou</t>
  </si>
  <si>
    <t>自由の森学園高等学校女子サッカー部</t>
  </si>
  <si>
    <t>ジユウノモリガクエンコウトウガッコウジョシサッカーブ</t>
  </si>
  <si>
    <t>jiyunomorigakuennkoutougakkoujosisakka-bu</t>
  </si>
  <si>
    <t>レストＦＣ</t>
  </si>
  <si>
    <t>レストエフシー</t>
  </si>
  <si>
    <t>restefc</t>
  </si>
  <si>
    <t>ＥＳＰＩＲＩＴＯ深谷ジュニア</t>
  </si>
  <si>
    <t>エスピリットフカヤジュニア</t>
  </si>
  <si>
    <t>espiritofukayajunio</t>
  </si>
  <si>
    <t>成田フリーダムＦＣ</t>
  </si>
  <si>
    <t>ナリタフリーダム</t>
  </si>
  <si>
    <t>naritafreedom</t>
  </si>
  <si>
    <t>ＦＣ上尾シニア</t>
  </si>
  <si>
    <t>エフシーアゲオシニア</t>
  </si>
  <si>
    <t>FC Ageo Senior</t>
  </si>
  <si>
    <t>フットボールクラブ　サンシン　シニア</t>
  </si>
  <si>
    <t>FC SANSHIN Senior</t>
  </si>
  <si>
    <t>saitamakenritsumiyashirokoutougakkou</t>
  </si>
  <si>
    <t>やんぺっちぇ三郷</t>
  </si>
  <si>
    <t>ヤンペッチェミサト</t>
  </si>
  <si>
    <t>yampechemisato</t>
  </si>
  <si>
    <t>МＹＳＣ</t>
  </si>
  <si>
    <t>エムワイエスシー</t>
  </si>
  <si>
    <t>MYSC</t>
  </si>
  <si>
    <t>ｉ‐ＳＦＩＤＡ</t>
  </si>
  <si>
    <t>スフィーダ</t>
  </si>
  <si>
    <t>i-sfida</t>
  </si>
  <si>
    <t>さいたまサッカークラブ・セカンド</t>
  </si>
  <si>
    <t>サイタマサッカークラブセカンド</t>
  </si>
  <si>
    <t>Saitama soccer club Second</t>
  </si>
  <si>
    <t>ＦＣ．ＺＥＲＯ</t>
  </si>
  <si>
    <t>エフシー　ゼロ</t>
  </si>
  <si>
    <t>FC.ZERO</t>
  </si>
  <si>
    <t>イキイキ　ｂａｋｋａｒ’ｚ</t>
  </si>
  <si>
    <t>イキイキ　バッカーズ</t>
  </si>
  <si>
    <t>ikiiki bakkar,z</t>
  </si>
  <si>
    <t>１ＦＣ川越水上公園メニーナ</t>
  </si>
  <si>
    <t>ワンエフシーカワゴエスイジョウコウエンメニーナ</t>
  </si>
  <si>
    <t>1FCkawagoesuijoukouen menina</t>
  </si>
  <si>
    <t>浦和レッドダイヤモンズジュニア</t>
  </si>
  <si>
    <t>ウラワレッドダイヤモンズジュニア</t>
  </si>
  <si>
    <t>URAWA RED DIAMONDS Junior</t>
  </si>
  <si>
    <t>Aventura Kawaguchi</t>
  </si>
  <si>
    <t>川口本町ＳＡ</t>
  </si>
  <si>
    <t>カワグチホンチョウエスエー</t>
  </si>
  <si>
    <t>kawaguchihontyousa</t>
  </si>
  <si>
    <t>フットボールクラブ　コリオーラ</t>
  </si>
  <si>
    <t>FOOTBALL CLUB CORRIOLA</t>
  </si>
  <si>
    <t>秋草学園高等学校女子サッカー部</t>
  </si>
  <si>
    <t>アキクサガクエンコウトウガッコウジョシサッカーブ</t>
  </si>
  <si>
    <t>akikusagakuennkoutougakkoujyosiscccerbu</t>
  </si>
  <si>
    <t>開智未来中学校</t>
  </si>
  <si>
    <t>カイチミライチュウガッコウ</t>
  </si>
  <si>
    <t>kaichimiraichuugakkou</t>
  </si>
  <si>
    <t>0510231</t>
  </si>
  <si>
    <t>八潮市立潮止中学校</t>
  </si>
  <si>
    <t>ヤシオシリツシオドメチュウガッコウ</t>
  </si>
  <si>
    <t>yashioshiritsu shiodome tyugakko</t>
  </si>
  <si>
    <t>0510242</t>
  </si>
  <si>
    <t>県立寄居城北高校　女子サッカー部</t>
  </si>
  <si>
    <t>ヨリイジョウホクコウコウ　ジョシサッカーブ</t>
  </si>
  <si>
    <t>YoriiJohoku High School</t>
  </si>
  <si>
    <t>ＫＦＣ　ＦＵＫＡＹＡ</t>
  </si>
  <si>
    <t>ケーエフシー　フカヤ</t>
  </si>
  <si>
    <t>KFC FUKAYA</t>
  </si>
  <si>
    <t>浦和グランパワーズ</t>
  </si>
  <si>
    <t>ウラワグランパワーズ</t>
  </si>
  <si>
    <t>Urawa Grand Powers</t>
  </si>
  <si>
    <t>figurale sayama fc</t>
  </si>
  <si>
    <t>Ｈａｐｐｉｎｅｓｓ</t>
  </si>
  <si>
    <t>ハピネス</t>
  </si>
  <si>
    <t>HAPPINESSS</t>
  </si>
  <si>
    <t>宮原クラブ２０１１</t>
  </si>
  <si>
    <t>ミヤハラクラブ２０１１</t>
  </si>
  <si>
    <t>MIYAHARA CLUB 2011</t>
  </si>
  <si>
    <t>ＦＣ．ＢＯＷＴＨ　ＬＥＧＥＮＤＳ</t>
  </si>
  <si>
    <t>エフシー　バウス　レジェンズ</t>
  </si>
  <si>
    <t>FC.BOWTH LEGENDS</t>
  </si>
  <si>
    <t>Ａｌｍａ　ｑｕｅｎｔｅ</t>
  </si>
  <si>
    <t>アルマクエンテ</t>
  </si>
  <si>
    <t>Alma quente</t>
  </si>
  <si>
    <t>鴻巣フットボールクラブトップ</t>
  </si>
  <si>
    <t>コウノスフットボールクラブトップ</t>
  </si>
  <si>
    <t>KONOSU FOOTBALL CLUB TOP</t>
  </si>
  <si>
    <t>ＦＣ　Ｇｏｉｓ</t>
  </si>
  <si>
    <t>エフシー　ゴイス</t>
  </si>
  <si>
    <t>FC Gois</t>
  </si>
  <si>
    <t>桶川クイーンズ少女サッカークラブ</t>
  </si>
  <si>
    <t>オケガワクイーンズショウジョサッカークラブ</t>
  </si>
  <si>
    <t>OKEGAWAKUINZUSYOUJYOSAKKAKURABU</t>
  </si>
  <si>
    <t>ｔｏｎａｎ　ｓｏｃｃｅｒ　ｃｌｕｂ　北本</t>
  </si>
  <si>
    <t>トナン　サッカー　クラブ　キタモト</t>
  </si>
  <si>
    <t>tonan soccer club kitamoto</t>
  </si>
  <si>
    <t>ＦＣ　ＬＡＶＩＤＡ</t>
  </si>
  <si>
    <t>エフシー　ラヴィーダ</t>
  </si>
  <si>
    <t>FC LAVIDA</t>
  </si>
  <si>
    <t>ティブロンフットボールクラブ</t>
  </si>
  <si>
    <t>TIBURON FOOTBALL CLUB</t>
  </si>
  <si>
    <t>ＬＩＶＲＯ白岡ＳｏｃｃｅｒＣｌｕｂ</t>
  </si>
  <si>
    <t>リブロシラオカサッカークラブ</t>
  </si>
  <si>
    <t>LIVROshiraokaSoccerClub</t>
  </si>
  <si>
    <t>ＧＲＡＮＤＥ　ＦＯＯＴＢＡＬＬ　ＣＬＵＢ　Ｕ－１２</t>
  </si>
  <si>
    <t>グランデフットボールクラブ　Ｕ－１２</t>
  </si>
  <si>
    <t>GRANDE FOOTBALL CLUB U-12</t>
  </si>
  <si>
    <t>鶴ヶ島アピロンＦＣジュニア</t>
  </si>
  <si>
    <t>ツルガシマアピロンフットボールクラブジュニア</t>
  </si>
  <si>
    <t>戸木南ボンバーズＦＣ</t>
  </si>
  <si>
    <t>トキナンボンバーズフットボールクラブ</t>
  </si>
  <si>
    <t>TOKINANBOMBERS FC</t>
  </si>
  <si>
    <t>戸田シティフットボールクラブ</t>
  </si>
  <si>
    <t>トダシティフットボールクラブ</t>
  </si>
  <si>
    <t>TODA CITY FOOTBALL CLUB</t>
  </si>
  <si>
    <t>Ｆ．Ｃ．Ａｓｔｅｌ</t>
  </si>
  <si>
    <t>エフシー　アステル</t>
  </si>
  <si>
    <t>F.C.Astel</t>
  </si>
  <si>
    <t>ＴＲＩＣＯＬＯＲ　Ｆ．Ｃ</t>
  </si>
  <si>
    <t>トリコロールエフシー</t>
  </si>
  <si>
    <t>TRICOLOR F.C</t>
  </si>
  <si>
    <t>埼玉県立川越南高等学校サッカー部</t>
  </si>
  <si>
    <t>サイタマケンリツカワゴエミナミコウトウガッコウサッカーブ</t>
  </si>
  <si>
    <t>saitamakenritukawagoeminamikoutougakkousakka-bu</t>
  </si>
  <si>
    <t>ＦＣいろは</t>
  </si>
  <si>
    <t>エフシーイロハ</t>
  </si>
  <si>
    <t>FC IROHA</t>
  </si>
  <si>
    <t>Ｄｒｅａｍｓ　Ｓ．Ｃ</t>
  </si>
  <si>
    <t>ドリームス</t>
  </si>
  <si>
    <t>Dreams S.C</t>
  </si>
  <si>
    <t>レペゼン狭山</t>
  </si>
  <si>
    <t>レペゼンサヤマ</t>
  </si>
  <si>
    <t>RepresentSayama</t>
  </si>
  <si>
    <t>ＦＣ　ＭＵＧＥＮ</t>
  </si>
  <si>
    <t>エフシームゲン</t>
  </si>
  <si>
    <t>FC MUGEN</t>
  </si>
  <si>
    <t>ＧＯＯＤＮＥＳＳ　ＳＯＣＣＥＲ　ＣＬＵＢ</t>
  </si>
  <si>
    <t>グッドネスサッカークラブ</t>
  </si>
  <si>
    <t>GOODNESS SOCCER CLUB</t>
  </si>
  <si>
    <t>春日部サッカークラブ</t>
  </si>
  <si>
    <t>カスカベサッカークラブ</t>
  </si>
  <si>
    <t>Kasukabesoccreclub</t>
  </si>
  <si>
    <t>浦和西クラブ</t>
  </si>
  <si>
    <t>ウラワニシクラブ</t>
  </si>
  <si>
    <t>URAWA NISHI CLUB</t>
  </si>
  <si>
    <t>ＳＯＵＴＨＥＲＮ　ＣＲＯＳＳ</t>
  </si>
  <si>
    <t>サザンクロス</t>
  </si>
  <si>
    <t>SOUTHERN CROSS</t>
  </si>
  <si>
    <t>Ａ．Ａ．Ｆ．Ｃ</t>
  </si>
  <si>
    <t>エーエーエフシー</t>
  </si>
  <si>
    <t>A.A.F.C</t>
  </si>
  <si>
    <t>大里ＦＣ・Ｂ</t>
  </si>
  <si>
    <t>オオサトエフシービー</t>
  </si>
  <si>
    <t>ohsatofc.b</t>
  </si>
  <si>
    <t>ＦＣ．ＶＥＲＭＥＬＨＯ</t>
  </si>
  <si>
    <t>エフシー　ヴェルメーリョ</t>
  </si>
  <si>
    <t>FC.VERMELHO</t>
  </si>
  <si>
    <t>ＦＣＧａｒｃｅｌｏｎａ越谷</t>
  </si>
  <si>
    <t>エフシーガルセロナコシガヤ</t>
  </si>
  <si>
    <t>FC Garcelona KOSHIGAYA</t>
  </si>
  <si>
    <t>ＮＳＭ</t>
  </si>
  <si>
    <t>エヌエスエム</t>
  </si>
  <si>
    <t>NSM</t>
  </si>
  <si>
    <t>デールさいたま</t>
  </si>
  <si>
    <t>デールサイタマ</t>
  </si>
  <si>
    <t>DALE SAITAMA SC</t>
  </si>
  <si>
    <t>ＳＯＬ　ＴＯＤＡ</t>
  </si>
  <si>
    <t>ソル　トダ</t>
  </si>
  <si>
    <t>sol toda</t>
  </si>
  <si>
    <t>西武クラブ・飯能</t>
  </si>
  <si>
    <t>セイブクラブ　ハンノウ</t>
  </si>
  <si>
    <t>seibuclub.hanno</t>
  </si>
  <si>
    <t>ＶＡＭＯＳ鳩山ＳＣ</t>
  </si>
  <si>
    <t>ヴァモス　ハトヤマ　サッカークラブ</t>
  </si>
  <si>
    <t>vamos hatoyama soccer club</t>
  </si>
  <si>
    <t>埼玉県立栗橋北彩高等学校</t>
  </si>
  <si>
    <t>サイタマケンリツクリハシホクサイコウトウガッコウ</t>
  </si>
  <si>
    <t>kurihashi hokusai High School</t>
  </si>
  <si>
    <t>埼玉県立川越高等学校</t>
  </si>
  <si>
    <t>サイタマケンリツカワゴエコウトウガッコウ</t>
  </si>
  <si>
    <t>saitamakenritukawagoekoutougakkou</t>
  </si>
  <si>
    <t>埼玉県立富士見高等学校</t>
  </si>
  <si>
    <t>サイタマケンリツフジミコウトウガッコウ</t>
  </si>
  <si>
    <t>saitamakenritufujimikoutougakkou</t>
  </si>
  <si>
    <t>埼玉県立浦和商業高等学校</t>
  </si>
  <si>
    <t>サイタマケンリツウラワショウギョウコウトウガッコウ</t>
  </si>
  <si>
    <t>saitamakennrituurawasyougyoukoutougakkou</t>
  </si>
  <si>
    <t>埼玉県立上尾南高等学校サッカー部</t>
  </si>
  <si>
    <t>サイタマケンリツアゲオミナミコウトウガッコウサッカーブ</t>
  </si>
  <si>
    <t>Saitama Ageominami Highschool FC</t>
  </si>
  <si>
    <t>さいたま市立大宮北高等学校</t>
  </si>
  <si>
    <t>サイタマシリツオオミヤキタコウトウガッコウ</t>
  </si>
  <si>
    <t>SAITAMASIRITUOOMIYAKITAKOUTOUGAKKOU</t>
  </si>
  <si>
    <t>武南高等学校</t>
  </si>
  <si>
    <t>ブナンコウトウガッコウ</t>
  </si>
  <si>
    <t>Bunan high school</t>
  </si>
  <si>
    <t>柳瀬レッドローズジュニア</t>
  </si>
  <si>
    <t>ヤナセレッドローズジュニア</t>
  </si>
  <si>
    <t>YANASE.RED.ROSE.JUNIOR</t>
  </si>
  <si>
    <t>ＮＭＦＣ</t>
  </si>
  <si>
    <t>エヌエムエフシー</t>
  </si>
  <si>
    <t>NMFC</t>
  </si>
  <si>
    <t>キックサッカークラブ</t>
  </si>
  <si>
    <t>kick soccer club</t>
  </si>
  <si>
    <t>ふじみ野チャンプスポーツ少年団</t>
  </si>
  <si>
    <t>フジミノチャンプスポーツショウネンダン</t>
  </si>
  <si>
    <t>Fujimino Champ Sportsusyounendan</t>
  </si>
  <si>
    <t>さいたまシティーノース　フットボールクラブ</t>
  </si>
  <si>
    <t>サイタマシティーノース　フットボールクラブ</t>
  </si>
  <si>
    <t>saitama city north football club</t>
  </si>
  <si>
    <t>Ｈｅｌｉｏｓ　ＦＣ</t>
  </si>
  <si>
    <t>エリオス　エフシー</t>
  </si>
  <si>
    <t>Helios FC</t>
  </si>
  <si>
    <t>ｓｕｒｐｒｉｚ　Ｊｒ</t>
  </si>
  <si>
    <t>スプリズジュニア</t>
  </si>
  <si>
    <t>surpriz  Jr</t>
  </si>
  <si>
    <t>熊谷リリーズ</t>
  </si>
  <si>
    <t>クマガヤリリーズ</t>
  </si>
  <si>
    <t>KUMAGAYA LILIES</t>
  </si>
  <si>
    <t>コシガヤ</t>
  </si>
  <si>
    <t>koshigaya lady`s family</t>
  </si>
  <si>
    <t>urawaluckysfootballclub</t>
  </si>
  <si>
    <t>ＦＣ．ＣＨＯＵＥＴＴＥ</t>
  </si>
  <si>
    <t>エフシーシュエット</t>
  </si>
  <si>
    <t>FC.CHOUETTE</t>
  </si>
  <si>
    <t>ＤＢＦＣ楓昴</t>
  </si>
  <si>
    <t>ディービーエフシーフスバル</t>
  </si>
  <si>
    <t>DBFC FUSSBALL</t>
  </si>
  <si>
    <t>ＦＣアビリスタ　Ｕ－１５</t>
  </si>
  <si>
    <t>エフシー　アビリスタ　ユー　ジュウゴ</t>
  </si>
  <si>
    <t>FC HABILISTA U-15</t>
  </si>
  <si>
    <t>ＦＣリアル三芳ジュニアユース</t>
  </si>
  <si>
    <t>エフシーリアルミヨシジュニアユース</t>
  </si>
  <si>
    <t>FC REAL MIYOSHI JY</t>
  </si>
  <si>
    <t>狭山市立入間野中学校</t>
  </si>
  <si>
    <t>サヤマシリツイルマノチュウガッコウ</t>
  </si>
  <si>
    <t>IRUMANO JUNIOR HIGH SCHOOL</t>
  </si>
  <si>
    <t>1036725</t>
  </si>
  <si>
    <t>川口市立領家中学校</t>
  </si>
  <si>
    <t>カワグチシリツリョウケチュウガッコウ</t>
  </si>
  <si>
    <t>kawaguchisirituryoukecyuugakkou</t>
  </si>
  <si>
    <t>1037357</t>
  </si>
  <si>
    <t>三芳中学校</t>
  </si>
  <si>
    <t>ミヨシチュウガッコウ</t>
  </si>
  <si>
    <t>MIYOSHI JUNIOR HIGH SCHOOL</t>
  </si>
  <si>
    <t>1037449</t>
  </si>
  <si>
    <t>ふじみ野市立大井西中学校サッカー部</t>
  </si>
  <si>
    <t>フジミノシリツオオイニシチュウガッコウサッカーブ</t>
  </si>
  <si>
    <t>FUJIMINOSHIRITSU OHINISHI CHUGAKKOU SAKKABU</t>
  </si>
  <si>
    <t>1037739</t>
  </si>
  <si>
    <t>富士見市立西中学校</t>
  </si>
  <si>
    <t>フジミシリツニシチュウガッコウ</t>
  </si>
  <si>
    <t>1037746</t>
  </si>
  <si>
    <t>Ｆ．Ｃ．ＶＥＬＳＡ</t>
  </si>
  <si>
    <t>エフシーヴェルサ</t>
  </si>
  <si>
    <t>F.C.VELSA</t>
  </si>
  <si>
    <t>越谷市立大袋中学校サッカー部</t>
  </si>
  <si>
    <t>コシガヤシオオブクロチュウガッコウサッカーブ</t>
  </si>
  <si>
    <t>OBUKURO JUNIOR HIGH SCHOOL FC</t>
  </si>
  <si>
    <t>1038132</t>
  </si>
  <si>
    <t>ティブロンフットボールクラブジュニア</t>
  </si>
  <si>
    <t>TIBURON FOOTBALL CLUB JUNIOR</t>
  </si>
  <si>
    <t>北本市立宮内中学校サッカー部</t>
  </si>
  <si>
    <t>キタモトシリツミヤウチチュウガッコウサッカーブ</t>
  </si>
  <si>
    <t>MIYAUTI JUNIOR HIGH SCHOOL FOOTBALL CLUB</t>
  </si>
  <si>
    <t>1038804</t>
  </si>
  <si>
    <t>伊奈町立南中学校</t>
  </si>
  <si>
    <t>イナチョウリツミナミチュウガッコウ</t>
  </si>
  <si>
    <t>ina minami JHS</t>
  </si>
  <si>
    <t>1038811</t>
  </si>
  <si>
    <t>Ｂ．Ｆ．Ｐ</t>
  </si>
  <si>
    <t>ビーエフピー</t>
  </si>
  <si>
    <t>B.F.P</t>
  </si>
  <si>
    <t>狭山ラトルズナイトクラブ</t>
  </si>
  <si>
    <t>サヤマラトルズナイトクラブ</t>
  </si>
  <si>
    <t>Sayama Rattles Night Club</t>
  </si>
  <si>
    <t>春日部あとむ</t>
  </si>
  <si>
    <t>カスカベアトム</t>
  </si>
  <si>
    <t>kasukabeatomu</t>
  </si>
  <si>
    <t>ＫＮＣ</t>
  </si>
  <si>
    <t>ケーエヌシー</t>
  </si>
  <si>
    <t>knc</t>
  </si>
  <si>
    <t>ＦＣ．ＬＥＯＲＯＳＳＯ</t>
  </si>
  <si>
    <t>エフシーレオロッソ</t>
  </si>
  <si>
    <t>FC.LEOROSSO</t>
  </si>
  <si>
    <t>ＦＣ　ソウル　アルティスタ　トコロザワ</t>
  </si>
  <si>
    <t>エフシー　ソウル　アルティスタ　トコロザワ</t>
  </si>
  <si>
    <t>FC SOUL ARTISTA TOKOROZAWA</t>
  </si>
  <si>
    <t>ＯＩＣ朝日クラブ</t>
  </si>
  <si>
    <t>オーアイシーアサヒクラブ</t>
  </si>
  <si>
    <t>oicasahikurabu</t>
  </si>
  <si>
    <t>ＪＭＣモリタ東京製作所</t>
  </si>
  <si>
    <t>ジェイエムシーモリタトウキョウセイサクショ</t>
  </si>
  <si>
    <t>JMC MORITA TOKYO SEISAKUSYO</t>
  </si>
  <si>
    <t>ＦＣ．ＬＡ＿ＨＡＩＮＡ</t>
  </si>
  <si>
    <t>エフシーラハイナ</t>
  </si>
  <si>
    <t>Fc.la_haina</t>
  </si>
  <si>
    <t>川越岡田サッカースポーツ少年団</t>
  </si>
  <si>
    <t>カワゴエオカダサッカースポーツショウネンダン</t>
  </si>
  <si>
    <t xml:space="preserve"> KAWAGOE OKADA SOCCER SPORTS SHONENDAN</t>
  </si>
  <si>
    <t>梅園サッカー少年団</t>
  </si>
  <si>
    <t>ウメソノサッカーショウネンダン</t>
  </si>
  <si>
    <t>UMSONO SC</t>
  </si>
  <si>
    <t>所沢ウィングスＦＣ</t>
  </si>
  <si>
    <t>トコロザワウィングスフットボールクラブ</t>
  </si>
  <si>
    <t>TOKOROZAWA WINGS FC</t>
  </si>
  <si>
    <t>ＫＩＤＳＰＯＷＥＲ　ＪＵＮＩＯＲ　ＹＯＵＴＨ</t>
  </si>
  <si>
    <t>キッズパワージュニアユース</t>
  </si>
  <si>
    <t>KIDSPOWER JUNIOR YOUTH</t>
  </si>
  <si>
    <t>ＪＯＬＴＩＶＡ　Ｊｒ．Ｙｏｕｔｈ</t>
  </si>
  <si>
    <t>ジョルティーバジュニアユース</t>
  </si>
  <si>
    <t>JOLTIVA Jr.Youth</t>
  </si>
  <si>
    <t>陣屋アイリス</t>
  </si>
  <si>
    <t>ジンヤアイリス</t>
  </si>
  <si>
    <t>Jinya Iris</t>
  </si>
  <si>
    <t>Ａ．Ｃ　ａｍｍａｌｉａｔｏｒｅ</t>
  </si>
  <si>
    <t>エーシーアンマリアトーレ</t>
  </si>
  <si>
    <t>A.C ammaliatore</t>
  </si>
  <si>
    <t>Ｉｆ　Ｌｅｖａｎｔｅ　Ｆｕｔｅｂｏｌ　Ｃｌｕｂｅ</t>
  </si>
  <si>
    <t>イフレバンテフットボールクラブ</t>
  </si>
  <si>
    <t>If Levante Futebol Clube</t>
  </si>
  <si>
    <t>MINUMA FOOTBALL CLUB</t>
  </si>
  <si>
    <t>川口アイシンク少年サッカー</t>
  </si>
  <si>
    <t>カワグチアイシンクショウネンサッカー</t>
  </si>
  <si>
    <t>KAWAGUCHI ITHINK SS</t>
  </si>
  <si>
    <t>クマガヤサッカースポーツクラブライラックＵ－１２</t>
  </si>
  <si>
    <t>クマガヤサッカースポーツクラブライラックユー１２</t>
  </si>
  <si>
    <t>kumagayasoccersportsclublilacU-12</t>
  </si>
  <si>
    <t>ＺＯＯＳＰＯＲＴＳＣＬＵＢ</t>
  </si>
  <si>
    <t>ズースポーツクラブ</t>
  </si>
  <si>
    <t>ZOO SPORTS CLUB</t>
  </si>
  <si>
    <t>戸田市立戸田東中学校</t>
  </si>
  <si>
    <t>トダシリツトダヒガシチュウガッコウ</t>
  </si>
  <si>
    <t>Toda East Junior High School</t>
  </si>
  <si>
    <t>1046953</t>
  </si>
  <si>
    <t>秩父市立秩父第一中学校</t>
  </si>
  <si>
    <t>チチブシリツチチブダイイチチュウガッコウ</t>
  </si>
  <si>
    <t>chichibusiritu chichibudaiichichugakkou</t>
  </si>
  <si>
    <t>1048353</t>
  </si>
  <si>
    <t>日高高等学校女子サッカー部</t>
  </si>
  <si>
    <t>ヒダカコウコウジョシサッカーブ</t>
  </si>
  <si>
    <t>hidaka high school</t>
  </si>
  <si>
    <t>ファルカオ　ＦＣ　久喜</t>
  </si>
  <si>
    <t>ファルカオエフシークキ</t>
  </si>
  <si>
    <t>FALCAO FC KUKI</t>
  </si>
  <si>
    <t>埼玉フットボールクラブ　新座</t>
  </si>
  <si>
    <t>サイタマフットボールクラブ　ニイザ</t>
  </si>
  <si>
    <t>SFC Niiza</t>
  </si>
  <si>
    <t>ＯＬＤ　ＡＭＢＲＡＣＥ</t>
  </si>
  <si>
    <t>オールド　アンブレス</t>
  </si>
  <si>
    <t>OLD AMBRACE</t>
  </si>
  <si>
    <t>ＲＦＣ</t>
  </si>
  <si>
    <t>アールエフシー</t>
  </si>
  <si>
    <t>RFC</t>
  </si>
  <si>
    <t>トコロザワウィングスエフシー</t>
  </si>
  <si>
    <t>ＳＮＦＣ</t>
  </si>
  <si>
    <t>エスエヌエフシー</t>
  </si>
  <si>
    <t>SNFC</t>
  </si>
  <si>
    <t>ＴＭＢ１９７９</t>
  </si>
  <si>
    <t>ティーエムビーイチキュウナナキュウ</t>
  </si>
  <si>
    <t>TMB1979</t>
  </si>
  <si>
    <t>椿本チエイン</t>
  </si>
  <si>
    <t>ツバキモトチエイン</t>
  </si>
  <si>
    <t>TSUBAKIMOTO CHAIN</t>
  </si>
  <si>
    <t>ＫＡＴＯＨ　ＦＣ　カーテル</t>
  </si>
  <si>
    <t>カトウエフシーカーテル</t>
  </si>
  <si>
    <t>KATOH FC CARTEL</t>
  </si>
  <si>
    <t>ＦＣ　ＩＲＵＭＡ　</t>
  </si>
  <si>
    <t>エフシーイルマ</t>
  </si>
  <si>
    <t>fc iruma</t>
  </si>
  <si>
    <t>ＦＣ　ＧＡＥＡ２０１７</t>
  </si>
  <si>
    <t>エフシー　ガイア２０１７</t>
  </si>
  <si>
    <t>FC Gaea2017</t>
  </si>
  <si>
    <t>ＲＩＶＥＲ　ＮＯＲＴＥ　ＦＣ</t>
  </si>
  <si>
    <t>リーベルノルテエフシー</t>
  </si>
  <si>
    <t>RIVER NORTE FC</t>
  </si>
  <si>
    <t>ＡＳ　ＲＯＢＳ</t>
  </si>
  <si>
    <t>エーエス　ロブズ</t>
  </si>
  <si>
    <t>AS ROBS</t>
  </si>
  <si>
    <t>ＦＣフルゴン</t>
  </si>
  <si>
    <t>エフシーフルゴン</t>
  </si>
  <si>
    <t>FCFRGN</t>
  </si>
  <si>
    <t>草加遊馬キッカーズ</t>
  </si>
  <si>
    <t>ソウカアスマキッカーズ</t>
  </si>
  <si>
    <t>SOKA ASUMA KICKERS</t>
  </si>
  <si>
    <t>ｆｃ　ａｋａｒｉ　ｊｒ</t>
  </si>
  <si>
    <t>エフシーアカリジュニア</t>
  </si>
  <si>
    <t>fc akari jr</t>
  </si>
  <si>
    <t>ＩＦＣ／ＬＩＶＥＮＴ</t>
  </si>
  <si>
    <t>アイエフシーリヴェント</t>
  </si>
  <si>
    <t>IFC/LIVENT</t>
  </si>
  <si>
    <t>ペラーダジュニアーズ</t>
  </si>
  <si>
    <t>PELADA Juniors</t>
  </si>
  <si>
    <t>寄居町立寄居中学校サッカー部</t>
  </si>
  <si>
    <t>ヨリイチョウリツヨリイチュウガッコウサッカーブ</t>
  </si>
  <si>
    <t>Yorii junior high school soccer club</t>
  </si>
  <si>
    <t>1055580</t>
  </si>
  <si>
    <t>寺尾</t>
  </si>
  <si>
    <t>テラオ</t>
  </si>
  <si>
    <t>terao</t>
  </si>
  <si>
    <t>1055788</t>
  </si>
  <si>
    <t>ＦＬＡＰ　ＦＣ</t>
  </si>
  <si>
    <t>フラップ　エフシー</t>
  </si>
  <si>
    <t>FLAP FC</t>
  </si>
  <si>
    <t>さいたま市立大谷中学校</t>
  </si>
  <si>
    <t>サイタマシリツオオヤチュウガッコウ</t>
  </si>
  <si>
    <t>saitama city ohya junior high school</t>
  </si>
  <si>
    <t>1056716</t>
  </si>
  <si>
    <t>RESTE  FC</t>
  </si>
  <si>
    <t>埼玉オーステンＳＣジュニアユース</t>
  </si>
  <si>
    <t>サイタマオーステンエスシージュニアユース</t>
  </si>
  <si>
    <t>SAITAMA OSTEN SC JUNIOR YOUTH</t>
  </si>
  <si>
    <t>川口市立高等学校</t>
  </si>
  <si>
    <t>カワグチシリツコウトウガッコウ</t>
  </si>
  <si>
    <t>KAWAGUCHI MUNICIPAL HIGH SHOOL</t>
  </si>
  <si>
    <t>小峰農園</t>
  </si>
  <si>
    <t>コミネノウエン</t>
  </si>
  <si>
    <t>FC KOMINE FARM</t>
  </si>
  <si>
    <t>浦和麗明高等学校</t>
  </si>
  <si>
    <t>ウラワレイメイコウトウガッコウ</t>
  </si>
  <si>
    <t>URAWAREIMEI HIGH SCHOOL</t>
  </si>
  <si>
    <t>ｂａｌｌｄｕｔｃｈ　ＦＣ</t>
  </si>
  <si>
    <t>ボルダッチエフシー</t>
  </si>
  <si>
    <t>balldutch FC</t>
  </si>
  <si>
    <t>ＦＣ．ＡＭＡＲＩＬＬＯ</t>
  </si>
  <si>
    <t>エフシーアマリージョ</t>
  </si>
  <si>
    <t>FC.AMARILLO</t>
  </si>
  <si>
    <t>ナンリョウエスタディオシスターズ</t>
  </si>
  <si>
    <t>Nanryo E.S.</t>
  </si>
  <si>
    <t>ＦＣＡＲＡＺＡ</t>
  </si>
  <si>
    <t>エフシーアラザ</t>
  </si>
  <si>
    <t>FCARAZA</t>
  </si>
  <si>
    <t>Ｃａｐ東大宮ＦＣ</t>
  </si>
  <si>
    <t>キャップヒガシオオミヤエフシー</t>
  </si>
  <si>
    <t>CAP HIGASHIOMIYA FC</t>
  </si>
  <si>
    <t>ＦＣアスリート三郷Ｕ－１２</t>
  </si>
  <si>
    <t>エフシーアスリートミサトユージュウニ</t>
  </si>
  <si>
    <t>FC ATHLETE MISATO U-12</t>
  </si>
  <si>
    <t>ＳＨＩＲＡＯＫＡ　ｋ’ｓ　フットボールクラブＵ－１２</t>
  </si>
  <si>
    <t>シラオカケイズフットボールクラブ</t>
  </si>
  <si>
    <t>SHIRAOKA K's football culb u-12</t>
  </si>
  <si>
    <t>ＪＳＣ　ＧＲＡＮＴ</t>
  </si>
  <si>
    <t>ジェイエスシーグラント</t>
  </si>
  <si>
    <t>JSC GRANT</t>
  </si>
  <si>
    <t>ＮＰＯ法人ＢｒｕｄｅｒＳＶ　Ｆｒａｕｅｎ</t>
  </si>
  <si>
    <t>エヌピーオーホウジンブルーダーエスヴイ　フラウエン</t>
  </si>
  <si>
    <t>Brruder SV Frauen</t>
  </si>
  <si>
    <t>Ｃａｐ鴻巣ＦＣセカンド</t>
  </si>
  <si>
    <t>キャップコウノスエフシーセカンド</t>
  </si>
  <si>
    <t>CAP KOUNOSU FC SECOND</t>
  </si>
  <si>
    <t>ＦＣ　Ｖａｍｏｌａ</t>
  </si>
  <si>
    <t>エフシー　バモラ</t>
  </si>
  <si>
    <t>FC Vamola</t>
  </si>
  <si>
    <t>ＩＮＤＥＰＥＮＤＩＥＮＴＥ　ＪＡＰＡＮ　ＨＡＴＯＹＡＭＡ</t>
  </si>
  <si>
    <t>インデペンディエンテジャパンハトヤマ</t>
  </si>
  <si>
    <t>INDEPENDIENTE JAPAN HATOYAMA</t>
  </si>
  <si>
    <t>叡明高等学校ＷＦＣ</t>
  </si>
  <si>
    <t>エイメイコウトウガッコウダブリュウエフシー</t>
  </si>
  <si>
    <t>EIMEI WFC</t>
  </si>
  <si>
    <t>ＦＣ　Ｇｏｉｓ　Ｕ－１５</t>
  </si>
  <si>
    <t>エフシーゴイスユージュウゴ</t>
  </si>
  <si>
    <t>FC Gois U-15</t>
  </si>
  <si>
    <t xml:space="preserve">Shochi Fukaya </t>
  </si>
  <si>
    <t>ボカ飯能ジュニアユース</t>
  </si>
  <si>
    <t>ボカハンノウジュニアユース</t>
  </si>
  <si>
    <t>BOCA HANNO JUNIOR YOUTH</t>
  </si>
  <si>
    <t>ＦＣ　ＶＩＥＮＴＡＳ</t>
  </si>
  <si>
    <t>エフシー　ヴィエンタス</t>
  </si>
  <si>
    <t>FC VIENTAS</t>
  </si>
  <si>
    <t>さいたま市立大宮南中学校</t>
  </si>
  <si>
    <t>サイタマシリツオオミヤミナミチュウガッコウ</t>
  </si>
  <si>
    <t>OMIYAMINAMI</t>
  </si>
  <si>
    <t>1063882</t>
  </si>
  <si>
    <t>ＴＲＩＣＯＬＯＲＥ　Ｆ．Ｃ</t>
  </si>
  <si>
    <t>TRICOLORE F.C</t>
  </si>
  <si>
    <t>坂戸中学校ＦＣ</t>
  </si>
  <si>
    <t>サカドチュウガッコウエフシー</t>
  </si>
  <si>
    <t>SAKADO JUNIOR HIGH SCHOOL FC</t>
  </si>
  <si>
    <t>1064001</t>
  </si>
  <si>
    <t>入間市立向原中学校サッカー部</t>
  </si>
  <si>
    <t>イルマシリツムコウハラチュウガッコウサッカーブ</t>
  </si>
  <si>
    <t>IRUMA MUKOUHARA JHS SC</t>
  </si>
  <si>
    <t>1064063</t>
  </si>
  <si>
    <t>霞ケ関中学校</t>
  </si>
  <si>
    <t>カスミガセキチュウガッコウ</t>
  </si>
  <si>
    <t>KASUMIGASEKI JUNIOR HIGH SCHOOL</t>
  </si>
  <si>
    <t>1064070</t>
  </si>
  <si>
    <t>埼玉県立蓮田松韻高校　女子サッカー同好会</t>
  </si>
  <si>
    <t>ハスダショウインコウコウ　ジョシサッカードウコウカイ</t>
  </si>
  <si>
    <t>SHOIN GIRLS' FC</t>
  </si>
  <si>
    <t>所沢ファルゴランテＪｒ．</t>
  </si>
  <si>
    <t>トコロザワファルゴランテジュニア</t>
  </si>
  <si>
    <t>TOKOROZAWA FOLGORANTE JR</t>
  </si>
  <si>
    <t>新座高校</t>
  </si>
  <si>
    <t>ニイザコウコウ</t>
  </si>
  <si>
    <t>NIIZA HIGH SCHOOL</t>
  </si>
  <si>
    <t>東野高等学校　女子サッカー部</t>
  </si>
  <si>
    <t>ヒガシノコウコウジョシサッカーブ</t>
  </si>
  <si>
    <t>HIGASHINO HIGH SCHOOL GIRL'S FC</t>
  </si>
  <si>
    <t>F000068</t>
  </si>
  <si>
    <t>フットサル連盟</t>
  </si>
  <si>
    <t>烏天狗フットサルクラブ</t>
  </si>
  <si>
    <t>カラステングフットサルクラブ</t>
  </si>
  <si>
    <t>karasutengufutsalclub</t>
  </si>
  <si>
    <t>F000077</t>
  </si>
  <si>
    <t>Ｆ＆Ｆ　ｉｗａｔｓｕｋｉ</t>
  </si>
  <si>
    <t>エフアンドエフ　イワツキ</t>
  </si>
  <si>
    <t>F&amp;F iwatsuki</t>
  </si>
  <si>
    <t>F000089</t>
  </si>
  <si>
    <t>エトセトラ</t>
  </si>
  <si>
    <t>etc.</t>
  </si>
  <si>
    <t>F000101</t>
  </si>
  <si>
    <t>パルーヲ</t>
  </si>
  <si>
    <t>pal:wo</t>
  </si>
  <si>
    <t>F000104</t>
  </si>
  <si>
    <t>F000106</t>
  </si>
  <si>
    <t>エステリオ</t>
  </si>
  <si>
    <t>estereo</t>
  </si>
  <si>
    <t>F000427</t>
  </si>
  <si>
    <t>ミッドフィールドフットサルクラブ　</t>
  </si>
  <si>
    <t>ミッドフィールドフットサルクラブ</t>
  </si>
  <si>
    <t>Midfield Futsal Club</t>
  </si>
  <si>
    <t>F000631</t>
  </si>
  <si>
    <t>ＦＣ九龍</t>
  </si>
  <si>
    <t>エフシークーロン</t>
  </si>
  <si>
    <t>FC Kowloon</t>
  </si>
  <si>
    <t>F000860</t>
  </si>
  <si>
    <t>スプリズ</t>
  </si>
  <si>
    <t>supurizu</t>
  </si>
  <si>
    <t>F000929</t>
  </si>
  <si>
    <t>エーオーエイチフットサルクラブ</t>
  </si>
  <si>
    <t>AOH FC</t>
  </si>
  <si>
    <t>F000997</t>
  </si>
  <si>
    <t>デールさいたまフットサル</t>
  </si>
  <si>
    <t>デールサイタマフットサル</t>
  </si>
  <si>
    <t>DALE SAITAMA FUTSAL</t>
  </si>
  <si>
    <t>F001125</t>
  </si>
  <si>
    <t>F001176</t>
  </si>
  <si>
    <t>アバンソールさいたま</t>
  </si>
  <si>
    <t>アバンソール　サイタマ</t>
  </si>
  <si>
    <t>AVANSOL SAITAMA</t>
  </si>
  <si>
    <t>F001212</t>
  </si>
  <si>
    <t>Ｆ．Ｇ．Ｓａｌｗｏｏｏ</t>
  </si>
  <si>
    <t>エフジーサルー</t>
  </si>
  <si>
    <t>F.G.Salwooo</t>
  </si>
  <si>
    <t>F001256</t>
  </si>
  <si>
    <t>F001906</t>
  </si>
  <si>
    <t>ＦＳＯ</t>
  </si>
  <si>
    <t>エフエスオー</t>
  </si>
  <si>
    <t>FSO</t>
  </si>
  <si>
    <t>F001980</t>
  </si>
  <si>
    <t>F001985</t>
  </si>
  <si>
    <t>F001986</t>
  </si>
  <si>
    <t>エフスポ川越</t>
  </si>
  <si>
    <t>エフスポカワゴエ</t>
  </si>
  <si>
    <t>f-spo kawagoe</t>
  </si>
  <si>
    <t>F004596</t>
  </si>
  <si>
    <t>ＣＯＲＲＩＤＯＲ　ＴＯＤＡＫＡ</t>
  </si>
  <si>
    <t>コッリドール　トダカ</t>
  </si>
  <si>
    <t>CORRIDOR TODAKA</t>
  </si>
  <si>
    <t>F005388</t>
  </si>
  <si>
    <t>フィルーラ</t>
  </si>
  <si>
    <t>Firula</t>
  </si>
  <si>
    <t>F005715</t>
  </si>
  <si>
    <t>ＭＥＳＳＥ大宮ＦＣ</t>
  </si>
  <si>
    <t>メッセオオミヤエフシー</t>
  </si>
  <si>
    <t>MESSEOMIYA FC</t>
  </si>
  <si>
    <t>F006521</t>
  </si>
  <si>
    <t>ａｍａｄｏｒ成増</t>
  </si>
  <si>
    <t>アマドールナリマス</t>
  </si>
  <si>
    <t>AMADOR NARIMASU</t>
  </si>
  <si>
    <t>イフ　レバンテ　フットボール　クラブ</t>
  </si>
  <si>
    <t>F010702</t>
  </si>
  <si>
    <t>ディセット浦和</t>
  </si>
  <si>
    <t>ディセットウラワ</t>
  </si>
  <si>
    <t>dix-sept URAWA</t>
  </si>
  <si>
    <t>F010917</t>
  </si>
  <si>
    <t>リアル　マングリーズ</t>
  </si>
  <si>
    <t>REAL MANGREES</t>
  </si>
  <si>
    <t>F016186</t>
  </si>
  <si>
    <t>鶴西トルネードスター</t>
  </si>
  <si>
    <t>ツルニシトルネードスター</t>
  </si>
  <si>
    <t>tsurunishi tornado star</t>
  </si>
  <si>
    <t>F016230</t>
  </si>
  <si>
    <t>ＦＣ　Ｆｒｅｖｏ</t>
  </si>
  <si>
    <t>エフシー　フレボ</t>
  </si>
  <si>
    <t>FC Frevo</t>
  </si>
  <si>
    <t>F016278</t>
  </si>
  <si>
    <t>F016360</t>
  </si>
  <si>
    <t>ＡＶＡＮＳＯＬ　ＳＯＲＤＯ</t>
  </si>
  <si>
    <t>アバンソールソルド</t>
  </si>
  <si>
    <t>AVANSOL  SORDO</t>
  </si>
  <si>
    <t>指導・普及事業</t>
  </si>
  <si>
    <t>03</t>
  </si>
  <si>
    <t>12</t>
  </si>
  <si>
    <t>13</t>
  </si>
  <si>
    <t>14</t>
  </si>
  <si>
    <t>15</t>
  </si>
  <si>
    <t/>
  </si>
  <si>
    <t>24</t>
  </si>
  <si>
    <t>25</t>
  </si>
  <si>
    <t>26</t>
  </si>
  <si>
    <t>04</t>
  </si>
  <si>
    <t>競技会開催事業</t>
  </si>
  <si>
    <t>主催事業</t>
  </si>
  <si>
    <t>受託事業</t>
  </si>
  <si>
    <t>43</t>
  </si>
  <si>
    <t>44</t>
  </si>
  <si>
    <t>埼玉県クラブユースサッカー選手権U-12大会</t>
  </si>
  <si>
    <t>**　レディース/ガールズサッカーフェスティバル　3</t>
  </si>
  <si>
    <t>シニア60リーグ</t>
  </si>
  <si>
    <t>シニア65リーグ</t>
  </si>
  <si>
    <t>シニアロイヤルリーグO-70</t>
  </si>
  <si>
    <t>シニアフェスタ（O-40.50.60.65.70）</t>
  </si>
  <si>
    <t>72</t>
  </si>
  <si>
    <t>73</t>
  </si>
  <si>
    <t>広報誌発行</t>
  </si>
  <si>
    <t>・受託　ユニクロサッカーキッズ</t>
  </si>
  <si>
    <t>　　「報告予定日」欄に「○」がある事業は日本協会への報告期日になりますので御注意下さい</t>
    <rPh sb="3" eb="5">
      <t>ホウコク</t>
    </rPh>
    <rPh sb="5" eb="8">
      <t>ヨテイビ</t>
    </rPh>
    <rPh sb="9" eb="10">
      <t>ラン</t>
    </rPh>
    <rPh sb="17" eb="19">
      <t>ジギョウ</t>
    </rPh>
    <rPh sb="20" eb="22">
      <t>ニホン</t>
    </rPh>
    <rPh sb="22" eb="24">
      <t>キョウカイ</t>
    </rPh>
    <rPh sb="26" eb="28">
      <t>ホウコク</t>
    </rPh>
    <rPh sb="28" eb="30">
      <t>キジツ</t>
    </rPh>
    <rPh sb="37" eb="40">
      <t>ゴチュウイ</t>
    </rPh>
    <rPh sb="40" eb="41">
      <t>クダ</t>
    </rPh>
    <phoneticPr fontId="3"/>
  </si>
  <si>
    <t>追加事業は下2桁を80番台にする</t>
    <rPh sb="0" eb="2">
      <t>ツイカ</t>
    </rPh>
    <rPh sb="2" eb="4">
      <t>ジギョウ</t>
    </rPh>
    <rPh sb="5" eb="6">
      <t>シモ</t>
    </rPh>
    <rPh sb="7" eb="8">
      <t>ケタ</t>
    </rPh>
    <rPh sb="11" eb="12">
      <t>バン</t>
    </rPh>
    <rPh sb="12" eb="13">
      <t>ダイ</t>
    </rPh>
    <phoneticPr fontId="3"/>
  </si>
  <si>
    <t>連盟・
委員会</t>
    <rPh sb="0" eb="2">
      <t>レンメイ</t>
    </rPh>
    <rPh sb="4" eb="7">
      <t>イインカイ</t>
    </rPh>
    <phoneticPr fontId="3"/>
  </si>
  <si>
    <t>JFA
№</t>
    <phoneticPr fontId="3"/>
  </si>
  <si>
    <t>　県協会
  支出額</t>
    <rPh sb="1" eb="2">
      <t>ケン</t>
    </rPh>
    <rPh sb="2" eb="4">
      <t>キョウカイ</t>
    </rPh>
    <rPh sb="7" eb="10">
      <t>シシュツガク</t>
    </rPh>
    <rPh sb="9" eb="10">
      <t>ガク</t>
    </rPh>
    <phoneticPr fontId="3"/>
  </si>
  <si>
    <t>請求
日</t>
    <rPh sb="0" eb="2">
      <t>セイキュウ</t>
    </rPh>
    <rPh sb="3" eb="4">
      <t>ビ</t>
    </rPh>
    <phoneticPr fontId="3"/>
  </si>
  <si>
    <t>支払
日</t>
    <rPh sb="0" eb="2">
      <t>シハライ</t>
    </rPh>
    <rPh sb="3" eb="4">
      <t>ヒ</t>
    </rPh>
    <phoneticPr fontId="3"/>
  </si>
  <si>
    <t xml:space="preserve">予算
希望額  </t>
    <rPh sb="0" eb="2">
      <t>ヨサン</t>
    </rPh>
    <rPh sb="3" eb="5">
      <t>キボウ</t>
    </rPh>
    <rPh sb="5" eb="6">
      <t>ガク</t>
    </rPh>
    <phoneticPr fontId="3"/>
  </si>
  <si>
    <t>報告
予定日</t>
    <rPh sb="0" eb="2">
      <t>ホウコク</t>
    </rPh>
    <rPh sb="3" eb="6">
      <t>ヨテイビ</t>
    </rPh>
    <phoneticPr fontId="3"/>
  </si>
  <si>
    <t>報告
提出日</t>
    <rPh sb="0" eb="2">
      <t>ホウコク</t>
    </rPh>
    <rPh sb="3" eb="5">
      <t>テイシュツ</t>
    </rPh>
    <rPh sb="5" eb="6">
      <t>ヒ</t>
    </rPh>
    <phoneticPr fontId="3"/>
  </si>
  <si>
    <t>提出
確認</t>
    <rPh sb="0" eb="2">
      <t>テイシュツ</t>
    </rPh>
    <rPh sb="3" eb="5">
      <t>カクニン</t>
    </rPh>
    <phoneticPr fontId="3"/>
  </si>
  <si>
    <t>支払
合計額</t>
    <rPh sb="0" eb="2">
      <t>シハライ</t>
    </rPh>
    <rPh sb="3" eb="5">
      <t>ゴウケイ</t>
    </rPh>
    <rPh sb="5" eb="6">
      <t>ガク</t>
    </rPh>
    <phoneticPr fontId="3"/>
  </si>
  <si>
    <t>収入
合計額</t>
    <rPh sb="0" eb="2">
      <t>シュウニュウ</t>
    </rPh>
    <rPh sb="3" eb="5">
      <t>ゴウケイ</t>
    </rPh>
    <rPh sb="5" eb="6">
      <t>ガク</t>
    </rPh>
    <phoneticPr fontId="3"/>
  </si>
  <si>
    <t>参加料
(入場料)</t>
    <rPh sb="0" eb="3">
      <t>サンカリョウ</t>
    </rPh>
    <rPh sb="5" eb="8">
      <t>ニュウジョウリョウ</t>
    </rPh>
    <phoneticPr fontId="3"/>
  </si>
  <si>
    <t>広告料
収入</t>
    <rPh sb="0" eb="3">
      <t>コウコクリョウ</t>
    </rPh>
    <rPh sb="4" eb="6">
      <t>シュウニュウ</t>
    </rPh>
    <phoneticPr fontId="3"/>
  </si>
  <si>
    <t>協賛金・
売店収入</t>
    <rPh sb="0" eb="3">
      <t>キョウサンキン</t>
    </rPh>
    <rPh sb="5" eb="7">
      <t>バイテン</t>
    </rPh>
    <rPh sb="7" eb="9">
      <t>シュウニュウ</t>
    </rPh>
    <phoneticPr fontId="3"/>
  </si>
  <si>
    <t xml:space="preserve">       費用
       収入</t>
    <rPh sb="7" eb="9">
      <t>ヒヨウ</t>
    </rPh>
    <rPh sb="17" eb="19">
      <t>シュウニュウ</t>
    </rPh>
    <phoneticPr fontId="3"/>
  </si>
  <si>
    <t>仮受金・
補助金等</t>
    <rPh sb="0" eb="3">
      <t>カ</t>
    </rPh>
    <rPh sb="5" eb="8">
      <t>ホジョキン</t>
    </rPh>
    <rPh sb="8" eb="9">
      <t>トウ</t>
    </rPh>
    <phoneticPr fontId="3"/>
  </si>
  <si>
    <t>予算請求額</t>
    <rPh sb="0" eb="2">
      <t>ヨサン</t>
    </rPh>
    <rPh sb="2" eb="4">
      <t>セイキュウ</t>
    </rPh>
    <rPh sb="4" eb="5">
      <t>ガク</t>
    </rPh>
    <phoneticPr fontId="3"/>
  </si>
  <si>
    <t>前年度額
(全合計)</t>
    <rPh sb="0" eb="3">
      <t>ゼンネンド</t>
    </rPh>
    <rPh sb="3" eb="4">
      <t>ガク</t>
    </rPh>
    <rPh sb="6" eb="7">
      <t>ゼン</t>
    </rPh>
    <rPh sb="7" eb="9">
      <t>ゴウケイ</t>
    </rPh>
    <phoneticPr fontId="3"/>
  </si>
  <si>
    <t>備　考</t>
    <rPh sb="0" eb="1">
      <t>ソナエ</t>
    </rPh>
    <rPh sb="2" eb="3">
      <t>コウ</t>
    </rPh>
    <phoneticPr fontId="3"/>
  </si>
  <si>
    <t>事業№</t>
    <rPh sb="0" eb="2">
      <t>ジギョウ</t>
    </rPh>
    <phoneticPr fontId="3"/>
  </si>
  <si>
    <t>支払合計額</t>
    <rPh sb="0" eb="2">
      <t>シハライ</t>
    </rPh>
    <rPh sb="2" eb="4">
      <t>ゴウケイ</t>
    </rPh>
    <rPh sb="4" eb="5">
      <t>ガク</t>
    </rPh>
    <phoneticPr fontId="3"/>
  </si>
  <si>
    <t>開催受託金</t>
    <rPh sb="0" eb="2">
      <t>カイサイ</t>
    </rPh>
    <rPh sb="2" eb="4">
      <t>ジュタク</t>
    </rPh>
    <rPh sb="4" eb="5">
      <t>キン</t>
    </rPh>
    <phoneticPr fontId="3"/>
  </si>
  <si>
    <t>登録料</t>
    <rPh sb="0" eb="2">
      <t>トウロク</t>
    </rPh>
    <rPh sb="2" eb="3">
      <t>リョウ</t>
    </rPh>
    <phoneticPr fontId="3"/>
  </si>
  <si>
    <t>前年度
との差額</t>
    <rPh sb="0" eb="3">
      <t>ゼンネンド</t>
    </rPh>
    <rPh sb="6" eb="8">
      <t>サガク</t>
    </rPh>
    <phoneticPr fontId="3"/>
  </si>
  <si>
    <t>指導・普及事業</t>
    <phoneticPr fontId="3"/>
  </si>
  <si>
    <t>03</t>
    <phoneticPr fontId="3"/>
  </si>
  <si>
    <t>選手指導者育成/指導者</t>
    <rPh sb="0" eb="2">
      <t>センシュ</t>
    </rPh>
    <rPh sb="2" eb="4">
      <t>シドウ</t>
    </rPh>
    <rPh sb="4" eb="5">
      <t>シャ</t>
    </rPh>
    <rPh sb="5" eb="7">
      <t>イクセイ</t>
    </rPh>
    <rPh sb="8" eb="11">
      <t>シドウシャ</t>
    </rPh>
    <phoneticPr fontId="3"/>
  </si>
  <si>
    <t>技術委員会</t>
    <rPh sb="0" eb="2">
      <t>ギジュツ</t>
    </rPh>
    <rPh sb="2" eb="5">
      <t>イインカイ</t>
    </rPh>
    <phoneticPr fontId="3"/>
  </si>
  <si>
    <t>11</t>
    <phoneticPr fontId="3"/>
  </si>
  <si>
    <t>選手指導者育成/トレセン</t>
    <rPh sb="0" eb="2">
      <t>センシュ</t>
    </rPh>
    <rPh sb="2" eb="4">
      <t>シドウ</t>
    </rPh>
    <rPh sb="4" eb="5">
      <t>シャ</t>
    </rPh>
    <rPh sb="5" eb="7">
      <t>イクセイ</t>
    </rPh>
    <phoneticPr fontId="3"/>
  </si>
  <si>
    <t>○</t>
    <phoneticPr fontId="3"/>
  </si>
  <si>
    <t>21</t>
    <phoneticPr fontId="3"/>
  </si>
  <si>
    <t>22</t>
    <phoneticPr fontId="3"/>
  </si>
  <si>
    <t>23</t>
    <phoneticPr fontId="3"/>
  </si>
  <si>
    <t>****JFA交通費補助</t>
    <rPh sb="7" eb="10">
      <t>コウツウヒ</t>
    </rPh>
    <rPh sb="10" eb="12">
      <t>ホジョ</t>
    </rPh>
    <phoneticPr fontId="3"/>
  </si>
  <si>
    <t>27</t>
    <phoneticPr fontId="3"/>
  </si>
  <si>
    <t>その他の普及</t>
    <rPh sb="2" eb="3">
      <t>タ</t>
    </rPh>
    <rPh sb="4" eb="6">
      <t>フキュウ</t>
    </rPh>
    <phoneticPr fontId="3"/>
  </si>
  <si>
    <t>代表関連事業</t>
    <phoneticPr fontId="3"/>
  </si>
  <si>
    <t>県代表選抜編成等</t>
    <rPh sb="0" eb="1">
      <t>ケン</t>
    </rPh>
    <rPh sb="1" eb="3">
      <t>ダイヒョウ</t>
    </rPh>
    <rPh sb="3" eb="5">
      <t>センバツ</t>
    </rPh>
    <rPh sb="5" eb="7">
      <t>ヘンセイ</t>
    </rPh>
    <rPh sb="7" eb="8">
      <t>トウ</t>
    </rPh>
    <phoneticPr fontId="3"/>
  </si>
  <si>
    <t>12</t>
    <phoneticPr fontId="3"/>
  </si>
  <si>
    <t>技術委員会　集計</t>
    <rPh sb="2" eb="5">
      <t>イインカイ</t>
    </rPh>
    <phoneticPr fontId="3"/>
  </si>
  <si>
    <t>04</t>
    <phoneticPr fontId="3"/>
  </si>
  <si>
    <t>審判員養成</t>
    <rPh sb="2" eb="3">
      <t>イン</t>
    </rPh>
    <phoneticPr fontId="3"/>
  </si>
  <si>
    <t>審判委員会</t>
    <rPh sb="0" eb="2">
      <t>シンパン</t>
    </rPh>
    <rPh sb="2" eb="5">
      <t>イインカイ</t>
    </rPh>
    <phoneticPr fontId="3"/>
  </si>
  <si>
    <t>***　関東FAより割当派遣事務費あり
（仮受金）</t>
    <rPh sb="4" eb="6">
      <t>カントウ</t>
    </rPh>
    <rPh sb="10" eb="12">
      <t>ワリアテ</t>
    </rPh>
    <rPh sb="12" eb="14">
      <t>ハケン</t>
    </rPh>
    <rPh sb="14" eb="17">
      <t>ジムヒ</t>
    </rPh>
    <rPh sb="21" eb="24">
      <t>カ</t>
    </rPh>
    <phoneticPr fontId="3"/>
  </si>
  <si>
    <t>24</t>
    <phoneticPr fontId="3"/>
  </si>
  <si>
    <t>31</t>
    <phoneticPr fontId="3"/>
  </si>
  <si>
    <t>32</t>
    <phoneticPr fontId="3"/>
  </si>
  <si>
    <t>33</t>
    <phoneticPr fontId="3"/>
  </si>
  <si>
    <t>*　U-15ユース審判員育成研修　※</t>
    <rPh sb="9" eb="11">
      <t>シンパン</t>
    </rPh>
    <rPh sb="11" eb="12">
      <t>イン</t>
    </rPh>
    <rPh sb="12" eb="14">
      <t>イクセイ</t>
    </rPh>
    <rPh sb="14" eb="16">
      <t>ケンシュウ</t>
    </rPh>
    <phoneticPr fontId="3"/>
  </si>
  <si>
    <t>41</t>
    <phoneticPr fontId="3"/>
  </si>
  <si>
    <t>51</t>
    <phoneticPr fontId="3"/>
  </si>
  <si>
    <t>35</t>
    <phoneticPr fontId="3"/>
  </si>
  <si>
    <t>審判委員会　集計</t>
    <rPh sb="2" eb="5">
      <t>イインカイ</t>
    </rPh>
    <phoneticPr fontId="3"/>
  </si>
  <si>
    <t>競技会開催事業</t>
    <phoneticPr fontId="3"/>
  </si>
  <si>
    <t>主催事業</t>
    <phoneticPr fontId="3"/>
  </si>
  <si>
    <t>13</t>
    <phoneticPr fontId="3"/>
  </si>
  <si>
    <t>14</t>
    <phoneticPr fontId="3"/>
  </si>
  <si>
    <t>補助事業</t>
    <rPh sb="0" eb="2">
      <t>ホジョ</t>
    </rPh>
    <rPh sb="2" eb="4">
      <t>ジギョウ</t>
    </rPh>
    <phoneticPr fontId="3"/>
  </si>
  <si>
    <t>16</t>
    <phoneticPr fontId="3"/>
  </si>
  <si>
    <t>持ち回り、今年度開催なし</t>
    <rPh sb="0" eb="1">
      <t>モ</t>
    </rPh>
    <rPh sb="2" eb="3">
      <t>マワ</t>
    </rPh>
    <rPh sb="5" eb="8">
      <t>コンネンド</t>
    </rPh>
    <rPh sb="8" eb="10">
      <t>カイサイ</t>
    </rPh>
    <phoneticPr fontId="3"/>
  </si>
  <si>
    <t>***　関東協会補助金
持ち回り、今年度開催なし</t>
    <rPh sb="4" eb="6">
      <t>カントウ</t>
    </rPh>
    <rPh sb="6" eb="8">
      <t>キョウカイ</t>
    </rPh>
    <rPh sb="8" eb="11">
      <t>ホジョキン</t>
    </rPh>
    <rPh sb="17" eb="20">
      <t>コンネンド</t>
    </rPh>
    <rPh sb="20" eb="22">
      <t>カイサイ</t>
    </rPh>
    <phoneticPr fontId="3"/>
  </si>
  <si>
    <t>42</t>
    <phoneticPr fontId="3"/>
  </si>
  <si>
    <t>17</t>
    <phoneticPr fontId="3"/>
  </si>
  <si>
    <t>43</t>
    <phoneticPr fontId="3"/>
  </si>
  <si>
    <t>受託事業</t>
    <rPh sb="0" eb="2">
      <t>ジュタク</t>
    </rPh>
    <phoneticPr fontId="3"/>
  </si>
  <si>
    <t>・JFAより運営受託金</t>
    <rPh sb="6" eb="8">
      <t>ウンエイ</t>
    </rPh>
    <rPh sb="8" eb="10">
      <t>ジュタク</t>
    </rPh>
    <rPh sb="10" eb="11">
      <t>キン</t>
    </rPh>
    <phoneticPr fontId="3"/>
  </si>
  <si>
    <t>受託事業</t>
    <rPh sb="0" eb="2">
      <t>ジュタク</t>
    </rPh>
    <rPh sb="2" eb="4">
      <t>ジギョウ</t>
    </rPh>
    <phoneticPr fontId="3"/>
  </si>
  <si>
    <t>44</t>
    <phoneticPr fontId="3"/>
  </si>
  <si>
    <t>U-18クラブ</t>
    <phoneticPr fontId="3"/>
  </si>
  <si>
    <t>・関東各地で開催</t>
    <rPh sb="1" eb="3">
      <t>カントウ</t>
    </rPh>
    <rPh sb="3" eb="5">
      <t>カクチ</t>
    </rPh>
    <rPh sb="6" eb="8">
      <t>カイサイ</t>
    </rPh>
    <phoneticPr fontId="3"/>
  </si>
  <si>
    <t>45</t>
    <phoneticPr fontId="3"/>
  </si>
  <si>
    <t>34</t>
    <phoneticPr fontId="3"/>
  </si>
  <si>
    <t>46</t>
    <phoneticPr fontId="3"/>
  </si>
  <si>
    <t>36</t>
    <phoneticPr fontId="3"/>
  </si>
  <si>
    <t>37</t>
    <phoneticPr fontId="3"/>
  </si>
  <si>
    <t>47</t>
    <phoneticPr fontId="3"/>
  </si>
  <si>
    <t>地域での普及</t>
    <rPh sb="0" eb="2">
      <t>チイキ</t>
    </rPh>
    <rPh sb="4" eb="6">
      <t>フキュウ</t>
    </rPh>
    <phoneticPr fontId="3"/>
  </si>
  <si>
    <t>*　キッズ巡回指導</t>
    <rPh sb="5" eb="7">
      <t>ジュンカイ</t>
    </rPh>
    <rPh sb="7" eb="9">
      <t>シドウ</t>
    </rPh>
    <phoneticPr fontId="3"/>
  </si>
  <si>
    <t>*　U-8リーグ</t>
    <phoneticPr fontId="3"/>
  </si>
  <si>
    <t>*　キッズ（U-10）エリートマッチ</t>
    <phoneticPr fontId="3"/>
  </si>
  <si>
    <t>*　キッズサッカーフェスティバル　5</t>
    <phoneticPr fontId="3"/>
  </si>
  <si>
    <t>主催事業</t>
    <rPh sb="0" eb="2">
      <t>シュサイ</t>
    </rPh>
    <rPh sb="2" eb="4">
      <t>ジギョウ</t>
    </rPh>
    <phoneticPr fontId="3"/>
  </si>
  <si>
    <t>埼玉県少女サッカー大会</t>
    <rPh sb="0" eb="3">
      <t>サイタマケン</t>
    </rPh>
    <rPh sb="3" eb="5">
      <t>ショウジョ</t>
    </rPh>
    <rPh sb="9" eb="11">
      <t>タイカイ</t>
    </rPh>
    <phoneticPr fontId="3"/>
  </si>
  <si>
    <t>48</t>
    <phoneticPr fontId="3"/>
  </si>
  <si>
    <t>女子委員会</t>
    <rPh sb="0" eb="2">
      <t>ジョシ</t>
    </rPh>
    <rPh sb="2" eb="5">
      <t>イインカイ</t>
    </rPh>
    <phoneticPr fontId="3"/>
  </si>
  <si>
    <t>女子委員会運営費</t>
    <rPh sb="0" eb="2">
      <t>ジョシ</t>
    </rPh>
    <rPh sb="2" eb="5">
      <t>イインカイ</t>
    </rPh>
    <rPh sb="5" eb="8">
      <t>ウンエイヒ</t>
    </rPh>
    <phoneticPr fontId="3"/>
  </si>
  <si>
    <t>女子委員会　集計</t>
    <rPh sb="0" eb="2">
      <t>ジョシ</t>
    </rPh>
    <rPh sb="2" eb="5">
      <t>イインカイ</t>
    </rPh>
    <phoneticPr fontId="3"/>
  </si>
  <si>
    <t>52</t>
    <phoneticPr fontId="3"/>
  </si>
  <si>
    <t>53</t>
    <phoneticPr fontId="3"/>
  </si>
  <si>
    <t>54</t>
    <phoneticPr fontId="3"/>
  </si>
  <si>
    <t>55</t>
    <phoneticPr fontId="3"/>
  </si>
  <si>
    <t>56</t>
    <phoneticPr fontId="3"/>
  </si>
  <si>
    <t>57</t>
    <phoneticPr fontId="3"/>
  </si>
  <si>
    <t>***　関東協会補助金
持ち回り、今年度開催なし</t>
    <rPh sb="4" eb="8">
      <t>カ</t>
    </rPh>
    <rPh sb="8" eb="11">
      <t>ホジョキン</t>
    </rPh>
    <rPh sb="12" eb="13">
      <t>モ</t>
    </rPh>
    <rPh sb="14" eb="15">
      <t>マワ</t>
    </rPh>
    <rPh sb="17" eb="20">
      <t>コンネンド</t>
    </rPh>
    <rPh sb="20" eb="22">
      <t>カイサイ</t>
    </rPh>
    <phoneticPr fontId="3"/>
  </si>
  <si>
    <t>58</t>
    <phoneticPr fontId="3"/>
  </si>
  <si>
    <t>シニア委員会</t>
    <rPh sb="3" eb="6">
      <t>イインカイ</t>
    </rPh>
    <phoneticPr fontId="3"/>
  </si>
  <si>
    <t>シニア委員会運営費</t>
    <rPh sb="3" eb="6">
      <t>イインカイ</t>
    </rPh>
    <rPh sb="6" eb="9">
      <t>ウンエイヒ</t>
    </rPh>
    <phoneticPr fontId="3"/>
  </si>
  <si>
    <t xml:space="preserve">フットサル委員会　集計 </t>
    <rPh sb="5" eb="8">
      <t>イインカイ</t>
    </rPh>
    <rPh sb="9" eb="11">
      <t>シュウケイ</t>
    </rPh>
    <phoneticPr fontId="3"/>
  </si>
  <si>
    <t>61</t>
    <phoneticPr fontId="3"/>
  </si>
  <si>
    <t>　</t>
    <phoneticPr fontId="3"/>
  </si>
  <si>
    <t>シニアサッカー連盟助成金</t>
    <rPh sb="7" eb="9">
      <t>レンメイ</t>
    </rPh>
    <rPh sb="9" eb="12">
      <t>ジョセイキン</t>
    </rPh>
    <phoneticPr fontId="5"/>
  </si>
  <si>
    <t>71</t>
    <phoneticPr fontId="3"/>
  </si>
  <si>
    <t>フットサル委員会</t>
    <rPh sb="5" eb="8">
      <t>イインカイ</t>
    </rPh>
    <phoneticPr fontId="3"/>
  </si>
  <si>
    <t>72</t>
    <phoneticPr fontId="3"/>
  </si>
  <si>
    <t>フットサル委員会運営費</t>
    <rPh sb="5" eb="8">
      <t>イインカイ</t>
    </rPh>
    <rPh sb="8" eb="11">
      <t>ウンエイヒ</t>
    </rPh>
    <phoneticPr fontId="3"/>
  </si>
  <si>
    <t>73</t>
    <phoneticPr fontId="3"/>
  </si>
  <si>
    <t>19</t>
    <phoneticPr fontId="3"/>
  </si>
  <si>
    <t>埼玉県フットサルリーグオープン</t>
    <rPh sb="0" eb="2">
      <t>サイタマ</t>
    </rPh>
    <rPh sb="2" eb="3">
      <t>ケン</t>
    </rPh>
    <phoneticPr fontId="3"/>
  </si>
  <si>
    <t>74</t>
    <phoneticPr fontId="3"/>
  </si>
  <si>
    <t>埼玉県女子ユース（U-15・U-12）フットサルリーグ</t>
    <rPh sb="0" eb="3">
      <t>サイタマケン</t>
    </rPh>
    <rPh sb="3" eb="5">
      <t>ジョシ</t>
    </rPh>
    <phoneticPr fontId="3"/>
  </si>
  <si>
    <t>75</t>
    <phoneticPr fontId="3"/>
  </si>
  <si>
    <t>技術委・審判委・1～4種・女子・シニア・フットサル　計</t>
    <rPh sb="0" eb="2">
      <t>ギジュツ</t>
    </rPh>
    <rPh sb="2" eb="3">
      <t>イ</t>
    </rPh>
    <rPh sb="4" eb="6">
      <t>シンパン</t>
    </rPh>
    <rPh sb="6" eb="7">
      <t>イ</t>
    </rPh>
    <rPh sb="11" eb="12">
      <t>シュ</t>
    </rPh>
    <rPh sb="13" eb="15">
      <t>ジョシ</t>
    </rPh>
    <rPh sb="26" eb="27">
      <t>ケイ</t>
    </rPh>
    <phoneticPr fontId="3"/>
  </si>
  <si>
    <t>事務局</t>
    <rPh sb="0" eb="3">
      <t>ジムキョク</t>
    </rPh>
    <phoneticPr fontId="3"/>
  </si>
  <si>
    <t>選手指導者育成/他</t>
    <rPh sb="0" eb="2">
      <t>センシュ</t>
    </rPh>
    <rPh sb="2" eb="5">
      <t>シドウシャ</t>
    </rPh>
    <rPh sb="5" eb="7">
      <t>イクセイ</t>
    </rPh>
    <rPh sb="8" eb="9">
      <t>ホカ</t>
    </rPh>
    <phoneticPr fontId="3"/>
  </si>
  <si>
    <t>県協会より講師派遣</t>
    <rPh sb="0" eb="1">
      <t>ケン</t>
    </rPh>
    <rPh sb="1" eb="3">
      <t>キョウカイ</t>
    </rPh>
    <rPh sb="5" eb="7">
      <t>コウシ</t>
    </rPh>
    <rPh sb="7" eb="9">
      <t>ハケン</t>
    </rPh>
    <phoneticPr fontId="3"/>
  </si>
  <si>
    <t>91</t>
    <phoneticPr fontId="3"/>
  </si>
  <si>
    <t>92</t>
    <phoneticPr fontId="3"/>
  </si>
  <si>
    <t>関東協会分担金含む</t>
    <rPh sb="0" eb="2">
      <t>カントウ</t>
    </rPh>
    <rPh sb="2" eb="4">
      <t>キョウカイ</t>
    </rPh>
    <rPh sb="4" eb="7">
      <t>ブンタンキン</t>
    </rPh>
    <rPh sb="7" eb="8">
      <t>フク</t>
    </rPh>
    <phoneticPr fontId="3"/>
  </si>
  <si>
    <t>93</t>
    <phoneticPr fontId="3"/>
  </si>
  <si>
    <t>ホームページ運営</t>
    <phoneticPr fontId="3"/>
  </si>
  <si>
    <t>ウェルフェアオフィサー</t>
    <phoneticPr fontId="3"/>
  </si>
  <si>
    <t>01</t>
    <phoneticPr fontId="3"/>
  </si>
  <si>
    <t>25</t>
    <phoneticPr fontId="3"/>
  </si>
  <si>
    <t>26</t>
    <phoneticPr fontId="3"/>
  </si>
  <si>
    <t>規程より</t>
    <rPh sb="0" eb="2">
      <t>キテイ</t>
    </rPh>
    <phoneticPr fontId="3"/>
  </si>
  <si>
    <t>94</t>
    <phoneticPr fontId="3"/>
  </si>
  <si>
    <t>受託事業</t>
    <phoneticPr fontId="3"/>
  </si>
  <si>
    <t>02</t>
    <phoneticPr fontId="3"/>
  </si>
  <si>
    <t>競技会開催</t>
    <rPh sb="0" eb="3">
      <t>キョウギカイ</t>
    </rPh>
    <rPh sb="3" eb="5">
      <t>カイサイ</t>
    </rPh>
    <phoneticPr fontId="3"/>
  </si>
  <si>
    <t>・Jリーグより運営受託金</t>
    <rPh sb="7" eb="9">
      <t>ウンエイ</t>
    </rPh>
    <rPh sb="9" eb="11">
      <t>ジュタク</t>
    </rPh>
    <rPh sb="11" eb="12">
      <t>キン</t>
    </rPh>
    <phoneticPr fontId="3"/>
  </si>
  <si>
    <t>協会車リース料含む</t>
    <rPh sb="0" eb="2">
      <t>キョウカイ</t>
    </rPh>
    <rPh sb="2" eb="3">
      <t>シャ</t>
    </rPh>
    <rPh sb="6" eb="7">
      <t>リョウ</t>
    </rPh>
    <rPh sb="7" eb="8">
      <t>フク</t>
    </rPh>
    <phoneticPr fontId="3"/>
  </si>
  <si>
    <t>代表関連事業</t>
    <rPh sb="0" eb="2">
      <t>ダイヒョウ</t>
    </rPh>
    <rPh sb="2" eb="4">
      <t>カンレン</t>
    </rPh>
    <rPh sb="4" eb="6">
      <t>ジギョウ</t>
    </rPh>
    <phoneticPr fontId="3"/>
  </si>
  <si>
    <t>全国大会参加チーム支援</t>
    <phoneticPr fontId="3"/>
  </si>
  <si>
    <t>代表関連</t>
    <rPh sb="0" eb="2">
      <t>ダイヒョウ</t>
    </rPh>
    <rPh sb="2" eb="4">
      <t>カンレン</t>
    </rPh>
    <phoneticPr fontId="3"/>
  </si>
  <si>
    <t>施設管理事業</t>
    <rPh sb="0" eb="2">
      <t>シセツ</t>
    </rPh>
    <rPh sb="2" eb="4">
      <t>カンリ</t>
    </rPh>
    <rPh sb="4" eb="6">
      <t>ジギョウ</t>
    </rPh>
    <phoneticPr fontId="3"/>
  </si>
  <si>
    <t>施設管理</t>
    <rPh sb="0" eb="2">
      <t>シセツ</t>
    </rPh>
    <rPh sb="2" eb="4">
      <t>カンリ</t>
    </rPh>
    <phoneticPr fontId="3"/>
  </si>
  <si>
    <t>指定正味財産からの振替</t>
    <rPh sb="0" eb="2">
      <t>シテイ</t>
    </rPh>
    <rPh sb="2" eb="4">
      <t>ショウミ</t>
    </rPh>
    <rPh sb="4" eb="6">
      <t>ザイサン</t>
    </rPh>
    <rPh sb="9" eb="11">
      <t>フリカエ</t>
    </rPh>
    <phoneticPr fontId="3"/>
  </si>
  <si>
    <t>【収益事業】</t>
    <rPh sb="1" eb="3">
      <t>シュウエキ</t>
    </rPh>
    <rPh sb="3" eb="5">
      <t>ジギョウ</t>
    </rPh>
    <phoneticPr fontId="3"/>
  </si>
  <si>
    <t>【収益事業】</t>
    <phoneticPr fontId="3"/>
  </si>
  <si>
    <t>その他の事業</t>
    <rPh sb="2" eb="3">
      <t>タ</t>
    </rPh>
    <rPh sb="4" eb="6">
      <t>ジギョウ</t>
    </rPh>
    <phoneticPr fontId="3"/>
  </si>
  <si>
    <t>関東協会分担金含む</t>
    <rPh sb="0" eb="2">
      <t>カントウ</t>
    </rPh>
    <rPh sb="2" eb="4">
      <t>キョウカイ</t>
    </rPh>
    <rPh sb="4" eb="7">
      <t>ブンタンキン</t>
    </rPh>
    <rPh sb="7" eb="8">
      <t>フクム</t>
    </rPh>
    <phoneticPr fontId="3"/>
  </si>
  <si>
    <t>JFA役員登録</t>
    <rPh sb="3" eb="5">
      <t>ヤクイン</t>
    </rPh>
    <rPh sb="5" eb="7">
      <t>トウロク</t>
    </rPh>
    <phoneticPr fontId="3"/>
  </si>
  <si>
    <t>*</t>
    <phoneticPr fontId="3"/>
  </si>
  <si>
    <t>事務局　集計</t>
    <rPh sb="0" eb="3">
      <t>ジムキョク</t>
    </rPh>
    <rPh sb="4" eb="6">
      <t>シュウケイ</t>
    </rPh>
    <phoneticPr fontId="3"/>
  </si>
  <si>
    <t>管理費</t>
    <rPh sb="0" eb="3">
      <t>カンリヒ</t>
    </rPh>
    <phoneticPr fontId="3"/>
  </si>
  <si>
    <t>*　人件費</t>
    <rPh sb="2" eb="5">
      <t>ジンケンヒ</t>
    </rPh>
    <phoneticPr fontId="53"/>
  </si>
  <si>
    <t>福利・厚生費</t>
    <rPh sb="0" eb="2">
      <t>フクリ</t>
    </rPh>
    <rPh sb="3" eb="6">
      <t>コウセイヒ</t>
    </rPh>
    <phoneticPr fontId="53"/>
  </si>
  <si>
    <t>社会保険料、福利厚生関連費等
（功労賞表彰含）</t>
    <rPh sb="0" eb="2">
      <t>シャカイ</t>
    </rPh>
    <rPh sb="2" eb="5">
      <t>ホケンリョウ</t>
    </rPh>
    <rPh sb="6" eb="8">
      <t>フクリ</t>
    </rPh>
    <rPh sb="8" eb="10">
      <t>コウセイ</t>
    </rPh>
    <rPh sb="10" eb="12">
      <t>カンレン</t>
    </rPh>
    <rPh sb="12" eb="13">
      <t>ヒ</t>
    </rPh>
    <rPh sb="13" eb="14">
      <t>トウ</t>
    </rPh>
    <rPh sb="16" eb="19">
      <t>コウロウショウ</t>
    </rPh>
    <rPh sb="19" eb="21">
      <t>ヒョウショウ</t>
    </rPh>
    <rPh sb="21" eb="22">
      <t>フクム</t>
    </rPh>
    <phoneticPr fontId="53"/>
  </si>
  <si>
    <t>会議費</t>
    <rPh sb="0" eb="3">
      <t>カイギヒ</t>
    </rPh>
    <phoneticPr fontId="53"/>
  </si>
  <si>
    <t>旅費交通費</t>
    <rPh sb="0" eb="1">
      <t>タビ</t>
    </rPh>
    <rPh sb="1" eb="2">
      <t>ヒ</t>
    </rPh>
    <rPh sb="2" eb="5">
      <t>コウツウヒ</t>
    </rPh>
    <phoneticPr fontId="53"/>
  </si>
  <si>
    <t>通信費</t>
    <rPh sb="0" eb="2">
      <t>ツウシン</t>
    </rPh>
    <rPh sb="2" eb="3">
      <t>ヒ</t>
    </rPh>
    <phoneticPr fontId="53"/>
  </si>
  <si>
    <t>郵送料、電話代、振込手数料等</t>
    <rPh sb="0" eb="3">
      <t>ユウソウリョウ</t>
    </rPh>
    <rPh sb="4" eb="7">
      <t>デンワダイ</t>
    </rPh>
    <rPh sb="8" eb="10">
      <t>フリコミ</t>
    </rPh>
    <rPh sb="10" eb="13">
      <t>テスウリョウ</t>
    </rPh>
    <rPh sb="13" eb="14">
      <t>トウ</t>
    </rPh>
    <phoneticPr fontId="53"/>
  </si>
  <si>
    <t>運搬費</t>
    <rPh sb="0" eb="2">
      <t>ウンパン</t>
    </rPh>
    <rPh sb="2" eb="3">
      <t>ヒ</t>
    </rPh>
    <phoneticPr fontId="53"/>
  </si>
  <si>
    <t>減価償却</t>
    <rPh sb="0" eb="2">
      <t>ゲンカ</t>
    </rPh>
    <rPh sb="2" eb="4">
      <t>ショウキャク</t>
    </rPh>
    <phoneticPr fontId="53"/>
  </si>
  <si>
    <t>備品費</t>
    <rPh sb="0" eb="2">
      <t>ビヒン</t>
    </rPh>
    <rPh sb="2" eb="3">
      <t>ヒ</t>
    </rPh>
    <phoneticPr fontId="53"/>
  </si>
  <si>
    <t>事務所備品
（償却備品交換費用含）</t>
    <rPh sb="0" eb="2">
      <t>ジム</t>
    </rPh>
    <rPh sb="2" eb="3">
      <t>ショ</t>
    </rPh>
    <rPh sb="3" eb="5">
      <t>ビヒン</t>
    </rPh>
    <rPh sb="7" eb="9">
      <t>ショウキャク</t>
    </rPh>
    <rPh sb="9" eb="11">
      <t>ビヒン</t>
    </rPh>
    <rPh sb="11" eb="13">
      <t>コウカン</t>
    </rPh>
    <rPh sb="13" eb="15">
      <t>ヒヨウ</t>
    </rPh>
    <rPh sb="15" eb="16">
      <t>フクム</t>
    </rPh>
    <phoneticPr fontId="53"/>
  </si>
  <si>
    <t>消耗品費</t>
    <rPh sb="0" eb="2">
      <t>ショウモウ</t>
    </rPh>
    <rPh sb="2" eb="3">
      <t>ヒン</t>
    </rPh>
    <rPh sb="3" eb="4">
      <t>ヒ</t>
    </rPh>
    <phoneticPr fontId="53"/>
  </si>
  <si>
    <t>事務用品等</t>
    <rPh sb="0" eb="2">
      <t>ジム</t>
    </rPh>
    <rPh sb="2" eb="4">
      <t>ヨウヒン</t>
    </rPh>
    <rPh sb="4" eb="5">
      <t>トウ</t>
    </rPh>
    <phoneticPr fontId="53"/>
  </si>
  <si>
    <t>印刷費</t>
    <rPh sb="0" eb="2">
      <t>インサツ</t>
    </rPh>
    <rPh sb="2" eb="3">
      <t>ヒ</t>
    </rPh>
    <phoneticPr fontId="53"/>
  </si>
  <si>
    <t>トナー、複合機コピー等</t>
    <rPh sb="4" eb="7">
      <t>フクゴウキ</t>
    </rPh>
    <rPh sb="10" eb="11">
      <t>トウ</t>
    </rPh>
    <phoneticPr fontId="53"/>
  </si>
  <si>
    <t>水道光熱費</t>
    <rPh sb="0" eb="2">
      <t>スイドウ</t>
    </rPh>
    <rPh sb="2" eb="5">
      <t>コウネツヒ</t>
    </rPh>
    <phoneticPr fontId="53"/>
  </si>
  <si>
    <t>賃借料</t>
    <rPh sb="0" eb="3">
      <t>チンシャクリョウ</t>
    </rPh>
    <phoneticPr fontId="53"/>
  </si>
  <si>
    <t>委託費</t>
    <rPh sb="0" eb="2">
      <t>イタク</t>
    </rPh>
    <rPh sb="2" eb="3">
      <t>ヒ</t>
    </rPh>
    <phoneticPr fontId="3"/>
  </si>
  <si>
    <t>租税公課</t>
    <rPh sb="0" eb="2">
      <t>ソゼイ</t>
    </rPh>
    <rPh sb="2" eb="4">
      <t>コウカ</t>
    </rPh>
    <phoneticPr fontId="53"/>
  </si>
  <si>
    <t>印紙代等</t>
    <rPh sb="0" eb="2">
      <t>インシ</t>
    </rPh>
    <rPh sb="2" eb="3">
      <t>ダイ</t>
    </rPh>
    <rPh sb="3" eb="4">
      <t>ナド</t>
    </rPh>
    <phoneticPr fontId="53"/>
  </si>
  <si>
    <t>諸会費</t>
    <rPh sb="0" eb="1">
      <t>ショ</t>
    </rPh>
    <rPh sb="1" eb="3">
      <t>カイヒ</t>
    </rPh>
    <phoneticPr fontId="53"/>
  </si>
  <si>
    <t>競技団体交礼会費等</t>
    <rPh sb="0" eb="2">
      <t>キョウギ</t>
    </rPh>
    <rPh sb="2" eb="4">
      <t>ダンタイ</t>
    </rPh>
    <rPh sb="4" eb="5">
      <t>コウ</t>
    </rPh>
    <rPh sb="5" eb="6">
      <t>レイ</t>
    </rPh>
    <rPh sb="6" eb="7">
      <t>カイ</t>
    </rPh>
    <rPh sb="7" eb="8">
      <t>ヒ</t>
    </rPh>
    <rPh sb="8" eb="9">
      <t>ナド</t>
    </rPh>
    <phoneticPr fontId="53"/>
  </si>
  <si>
    <t>保険料</t>
    <rPh sb="0" eb="2">
      <t>ホケン</t>
    </rPh>
    <rPh sb="2" eb="3">
      <t>リョウ</t>
    </rPh>
    <phoneticPr fontId="53"/>
  </si>
  <si>
    <t>役員賠償保険</t>
    <rPh sb="0" eb="2">
      <t>ヤクイン</t>
    </rPh>
    <rPh sb="2" eb="4">
      <t>バイショウ</t>
    </rPh>
    <rPh sb="4" eb="6">
      <t>ホケン</t>
    </rPh>
    <phoneticPr fontId="53"/>
  </si>
  <si>
    <t>慶弔費</t>
    <rPh sb="0" eb="2">
      <t>ケイチョウ</t>
    </rPh>
    <rPh sb="2" eb="3">
      <t>ヒ</t>
    </rPh>
    <phoneticPr fontId="53"/>
  </si>
  <si>
    <t>祝賀会、香典、供花、祝電・弔電等</t>
    <rPh sb="0" eb="2">
      <t>シュクガ</t>
    </rPh>
    <rPh sb="2" eb="3">
      <t>カイ</t>
    </rPh>
    <rPh sb="4" eb="6">
      <t>コウデン</t>
    </rPh>
    <rPh sb="7" eb="9">
      <t>キョウカ</t>
    </rPh>
    <rPh sb="10" eb="12">
      <t>シュクデン</t>
    </rPh>
    <rPh sb="13" eb="15">
      <t>チョウデン</t>
    </rPh>
    <rPh sb="15" eb="16">
      <t>ナド</t>
    </rPh>
    <phoneticPr fontId="53"/>
  </si>
  <si>
    <t>雑　費</t>
    <rPh sb="0" eb="1">
      <t>ザツ</t>
    </rPh>
    <rPh sb="2" eb="3">
      <t>ヒ</t>
    </rPh>
    <phoneticPr fontId="53"/>
  </si>
  <si>
    <t>新聞購読料、事務局内雑貨、他項目外支出</t>
    <rPh sb="0" eb="2">
      <t>シンブン</t>
    </rPh>
    <rPh sb="2" eb="5">
      <t>コウドクリョウ</t>
    </rPh>
    <rPh sb="6" eb="8">
      <t>ジム</t>
    </rPh>
    <rPh sb="8" eb="9">
      <t>キョク</t>
    </rPh>
    <rPh sb="9" eb="10">
      <t>ナイ</t>
    </rPh>
    <rPh sb="10" eb="12">
      <t>ザッカ</t>
    </rPh>
    <rPh sb="13" eb="14">
      <t>ホカ</t>
    </rPh>
    <rPh sb="14" eb="16">
      <t>コウモク</t>
    </rPh>
    <rPh sb="16" eb="17">
      <t>ガイ</t>
    </rPh>
    <rPh sb="17" eb="19">
      <t>シシュツ</t>
    </rPh>
    <phoneticPr fontId="53"/>
  </si>
  <si>
    <t>交際費</t>
    <rPh sb="0" eb="3">
      <t>コウサイヒ</t>
    </rPh>
    <phoneticPr fontId="3"/>
  </si>
  <si>
    <t>管理費　集計</t>
    <rPh sb="0" eb="3">
      <t>カンリヒ</t>
    </rPh>
    <phoneticPr fontId="3"/>
  </si>
  <si>
    <t>総計</t>
    <phoneticPr fontId="3"/>
  </si>
  <si>
    <t>利用責任者住所</t>
    <rPh sb="0" eb="2">
      <t>リヨウ</t>
    </rPh>
    <rPh sb="2" eb="4">
      <t>セキニン</t>
    </rPh>
    <rPh sb="4" eb="5">
      <t>シャ</t>
    </rPh>
    <rPh sb="5" eb="7">
      <t>ジュウショ</t>
    </rPh>
    <phoneticPr fontId="3"/>
  </si>
  <si>
    <t>■利用の際はこの利用申請書（写）をフットボールセンター事務室に提出してください。</t>
    <rPh sb="1" eb="3">
      <t>リヨウ</t>
    </rPh>
    <rPh sb="4" eb="5">
      <t>サイ</t>
    </rPh>
    <rPh sb="8" eb="10">
      <t>リヨウ</t>
    </rPh>
    <rPh sb="10" eb="13">
      <t>シンセイショ</t>
    </rPh>
    <rPh sb="14" eb="15">
      <t>ウツ</t>
    </rPh>
    <rPh sb="27" eb="30">
      <t>ジムシツ</t>
    </rPh>
    <rPh sb="31" eb="33">
      <t>テイシュツ</t>
    </rPh>
    <phoneticPr fontId="3"/>
  </si>
  <si>
    <t>　利用料は、請求書をご確認ください。</t>
    <rPh sb="1" eb="4">
      <t>リヨウリョウ</t>
    </rPh>
    <rPh sb="6" eb="9">
      <t>セイキュウショ</t>
    </rPh>
    <rPh sb="11" eb="13">
      <t>カクニン</t>
    </rPh>
    <phoneticPr fontId="3"/>
  </si>
  <si>
    <t>■開門は利用開始30分前、閉門は利用終了30分後です。</t>
    <rPh sb="1" eb="3">
      <t>カイモン</t>
    </rPh>
    <rPh sb="4" eb="6">
      <t>リヨウ</t>
    </rPh>
    <rPh sb="6" eb="8">
      <t>カイシ</t>
    </rPh>
    <rPh sb="10" eb="12">
      <t>フンマエ</t>
    </rPh>
    <rPh sb="13" eb="15">
      <t>ヘイモン</t>
    </rPh>
    <rPh sb="16" eb="18">
      <t>リヨウ</t>
    </rPh>
    <rPh sb="18" eb="20">
      <t>シュウリョウ</t>
    </rPh>
    <rPh sb="22" eb="24">
      <t>フンゴ</t>
    </rPh>
    <phoneticPr fontId="3"/>
  </si>
  <si>
    <t>埼玉県協会
チーム登録番号</t>
    <rPh sb="0" eb="2">
      <t>サイタマ</t>
    </rPh>
    <rPh sb="2" eb="3">
      <t>ケン</t>
    </rPh>
    <rPh sb="3" eb="5">
      <t>キョウカイ</t>
    </rPh>
    <rPh sb="9" eb="11">
      <t>トウロク</t>
    </rPh>
    <rPh sb="11" eb="13">
      <t>バンゴウ</t>
    </rPh>
    <phoneticPr fontId="3"/>
  </si>
  <si>
    <t>埼玉県協会事業№
（4桁）</t>
    <rPh sb="0" eb="2">
      <t>サイタマ</t>
    </rPh>
    <rPh sb="2" eb="3">
      <t>ケン</t>
    </rPh>
    <rPh sb="3" eb="5">
      <t>キョウカイ</t>
    </rPh>
    <rPh sb="5" eb="7">
      <t>ジギョウ</t>
    </rPh>
    <rPh sb="11" eb="12">
      <t>ケタ</t>
    </rPh>
    <phoneticPr fontId="3"/>
  </si>
  <si>
    <t>メール　・　FAX</t>
    <phoneticPr fontId="3"/>
  </si>
  <si>
    <t>ＦＣケリーダ（南部地区）</t>
  </si>
  <si>
    <t>エフシーケリーダ</t>
  </si>
  <si>
    <t>fckeri-da</t>
  </si>
  <si>
    <t>KODAMA HAKUYO FC</t>
  </si>
  <si>
    <t>埼玉県立岩槻北陵高等学校サッカー部</t>
  </si>
  <si>
    <t>サイタマケンリツイワツキホクリョウコウトウガッコウサッカーブ</t>
  </si>
  <si>
    <t>埼玉県立吉川美南高等学校サッカー部</t>
  </si>
  <si>
    <t>サイタマケンリツヨシカワミナミコウトウガッコウサッカーブ</t>
  </si>
  <si>
    <t>saitama kenritsu yoshikawaminami koutougakkou soccer club</t>
  </si>
  <si>
    <t>埼玉県立庄和高等学校</t>
  </si>
  <si>
    <t>サイタマケンリツショウワコウトウガッコウ</t>
  </si>
  <si>
    <t>Showa High-School Soccer Club</t>
  </si>
  <si>
    <t>KAWAGOE HATSUKARI HIGH SCHOOL FOOTBALL CLUB</t>
  </si>
  <si>
    <t>ユニオンフットボールクラブ　</t>
  </si>
  <si>
    <t>ユニオンフットボールクラブ</t>
  </si>
  <si>
    <t xml:space="preserve">FUJIMI PRIMEIRIO FC </t>
  </si>
  <si>
    <t>omiya nisshin soccer junior</t>
  </si>
  <si>
    <t>URAWA SHIBIRAKI SOCCER SPORTS BOY SCOUTS</t>
  </si>
  <si>
    <t>urawa ohmaki sss</t>
  </si>
  <si>
    <t>urawa daimon  soccer syounendan</t>
  </si>
  <si>
    <t>KITAURAWA Junior Soccer Sports-Club</t>
  </si>
  <si>
    <t>新座片山フットボールクラブ少年団</t>
  </si>
  <si>
    <t>ニイザカタヤマフットボールクラブショウネンダン</t>
  </si>
  <si>
    <t>niizakatayamafootballclubsyounendan</t>
  </si>
  <si>
    <t>niiza strong sc</t>
  </si>
  <si>
    <t>SHIRAOKA  JHS  FC</t>
  </si>
  <si>
    <t>Musashi</t>
  </si>
  <si>
    <t>川里サッカークラブ</t>
  </si>
  <si>
    <t>カワサトサッカークラブ</t>
  </si>
  <si>
    <t>MINAMI FIGHTERS SC</t>
  </si>
  <si>
    <t>SAYAMADAI ELEVEN SOCCER CLUB</t>
  </si>
  <si>
    <t>FUKAYA FUJISAWA SOCCER SPORTS SYOUNENDAN</t>
  </si>
  <si>
    <t>ＦＣ　ＳＡＫＵＲＡ　ＡＰＲＥＣＩＯ</t>
  </si>
  <si>
    <t>エフシーサクラアプレシオ</t>
  </si>
  <si>
    <t xml:space="preserve">FC SAKURA APRESIO </t>
  </si>
  <si>
    <t>Ushijima Football Club</t>
  </si>
  <si>
    <t>幸手ユナイテッドＦＣ</t>
  </si>
  <si>
    <t>サッテユナイテッドエフシー</t>
  </si>
  <si>
    <t>SATTE UNITED FC</t>
  </si>
  <si>
    <t>幸手さくらサッカークラブ</t>
  </si>
  <si>
    <t>サッテサクラサッカークラブ</t>
  </si>
  <si>
    <t>SATTE SAKURA SOCCER CLUB</t>
  </si>
  <si>
    <t>川越福原サッカークラブ</t>
  </si>
  <si>
    <t>カワゴエフクハラサッカークラブ</t>
  </si>
  <si>
    <t>青山学院大学系属浦和ルーテル学院中学校</t>
  </si>
  <si>
    <t>アオヤマガクインダイガクケイゾクウラワルーテルガクインチュウガッコウ</t>
  </si>
  <si>
    <t>kawagichisiritsuhigasichugakkou</t>
  </si>
  <si>
    <t>KUMAGAYA SOCCER SPORTS CLUB</t>
  </si>
  <si>
    <t>ユニオンＪＦＣスポーツ少年団</t>
  </si>
  <si>
    <t>ユニオンジェーエフシースポーツショウネンダン</t>
  </si>
  <si>
    <t>unionJFCsupo-tushounenndann</t>
  </si>
  <si>
    <t>大宮アルディージャＵ１８</t>
  </si>
  <si>
    <t>オオミヤアルディージャアンダーエイティーン</t>
  </si>
  <si>
    <t>omiya ardija u18</t>
  </si>
  <si>
    <t>駒場クラブ</t>
  </si>
  <si>
    <t>コマバクラブ</t>
  </si>
  <si>
    <t>komabakurabu</t>
  </si>
  <si>
    <t>TOYONO F. FOOTBALL CLUB</t>
  </si>
  <si>
    <t>ＦＣ西武台</t>
  </si>
  <si>
    <t>エフシーセイブダイ</t>
  </si>
  <si>
    <t>ハライチバスポーツショウネンダン（ハライチバナグリエスシー）</t>
  </si>
  <si>
    <t>青山学院大学系属浦和ルーテル学院高等学校サッカー部</t>
  </si>
  <si>
    <t>アオヤマガクインダイガクケイゾクウラワルーテルガクインコウトウガッコウサッカーブ</t>
  </si>
  <si>
    <t>AOYAMA GAKUIN DAIGAKU KEIZOKU URAWA LUTHERAN SCHOOL</t>
  </si>
  <si>
    <t>大宮アルディージャＵ１５</t>
  </si>
  <si>
    <t>オオミヤアルディージャアンダーフィフティーン</t>
  </si>
  <si>
    <t>OMIYA ARDIJA U15</t>
  </si>
  <si>
    <t>キョウエイダイガクタイイクカイサッカーブ</t>
  </si>
  <si>
    <t>埼玉県羽生市立南中学校</t>
  </si>
  <si>
    <t>サイタマケンハニュウシリツミナミチュウガッコウ</t>
  </si>
  <si>
    <t>HANYU MINAMI JUNIOR HIGH SCHOOL</t>
  </si>
  <si>
    <t>Ａｕｌａ</t>
  </si>
  <si>
    <t>アウラ</t>
  </si>
  <si>
    <t>Aula</t>
  </si>
  <si>
    <t>Ｔ－ＣＨＯ　Ｋａｗａｇｏｅ　ＳＣ</t>
  </si>
  <si>
    <t>ティーチョカワゴエサッカークラブ</t>
  </si>
  <si>
    <t>T-CHO Kawagoe SC</t>
  </si>
  <si>
    <t>ＦＣツチノコ</t>
  </si>
  <si>
    <t>FC TSUTINOKO</t>
  </si>
  <si>
    <t>大東文化大学女子サッカー部</t>
  </si>
  <si>
    <t>ダイトウブンカダイガクジョシサッカーブ</t>
  </si>
  <si>
    <t>大宮アルディージャＵ１２</t>
  </si>
  <si>
    <t>オオミヤアルディージャアンダートゥエルブ</t>
  </si>
  <si>
    <t>Omiya Ardija Under Twelve</t>
  </si>
  <si>
    <t>YOSHIMI T FRESA</t>
  </si>
  <si>
    <t>文教ＦＣ</t>
  </si>
  <si>
    <t>ブンキョウエフシー</t>
  </si>
  <si>
    <t>BUNKYOFC</t>
  </si>
  <si>
    <t>デールさいたまＵ－１２</t>
  </si>
  <si>
    <t>デールサイタマ　アンダージュウニ</t>
  </si>
  <si>
    <t>DALE SAITAMA U-12</t>
  </si>
  <si>
    <t>川越ＦＵＴＵＲＥ</t>
  </si>
  <si>
    <t>カワゴエフューチャー</t>
  </si>
  <si>
    <t>kawagoe future</t>
  </si>
  <si>
    <t>Ｎａｎｒｙｏ　Ｅｓｔａｄｉｏ　Ｓｉｓｔｅｒｓ</t>
  </si>
  <si>
    <t>ＦＣ　東松山</t>
  </si>
  <si>
    <t>エフシー　ヒガシマツヤマ</t>
  </si>
  <si>
    <t>fc higasimatsuyama</t>
  </si>
  <si>
    <t>エフマイスター</t>
  </si>
  <si>
    <t>F.MEISITER</t>
  </si>
  <si>
    <t>ＳＴＲＡＷ</t>
  </si>
  <si>
    <t>ストロ</t>
  </si>
  <si>
    <t>STRAW</t>
  </si>
  <si>
    <t>ＦＣ　ＳＰＩＲＩＴ</t>
  </si>
  <si>
    <t>エフシー　スピリット</t>
  </si>
  <si>
    <t>FC SPIRIT</t>
  </si>
  <si>
    <t>大宮西カリオカＦＣクラシックス</t>
  </si>
  <si>
    <t>オオミヤニシカリオカエフシークラシックス</t>
  </si>
  <si>
    <t>OMIYA NISHI CARIOKA CLASSICS</t>
  </si>
  <si>
    <t>文蔵ＦＣ</t>
  </si>
  <si>
    <t>ブゾウエフシー</t>
  </si>
  <si>
    <t>BUZO FC</t>
  </si>
  <si>
    <t>ＫＩＺＵＮＡ　ＦＣ</t>
  </si>
  <si>
    <t>キズナエフシー</t>
  </si>
  <si>
    <t>KIZUNA FC</t>
  </si>
  <si>
    <t>与野酔魂会</t>
  </si>
  <si>
    <t>ヨノスイコンカイ</t>
  </si>
  <si>
    <t>YONO SUIKONKAI</t>
  </si>
  <si>
    <t>ＦＣなめくま</t>
  </si>
  <si>
    <t>エフシーナメクマ</t>
  </si>
  <si>
    <t>FC NAMEKUMA</t>
  </si>
  <si>
    <t>ＦＣ　ＩＮＦＩＮＩＴＯ</t>
  </si>
  <si>
    <t>エフシーインフィニト</t>
  </si>
  <si>
    <t>FC INFINITO</t>
  </si>
  <si>
    <t>エフシーゴイス</t>
  </si>
  <si>
    <t>コンフィアンサＳＣ</t>
  </si>
  <si>
    <t>コンフィアンサエスシー</t>
  </si>
  <si>
    <t>Ｂｏｈｅｍｉａｎｓ</t>
  </si>
  <si>
    <t>ボヘミアンズ</t>
  </si>
  <si>
    <t>bohemians fc</t>
  </si>
  <si>
    <t>ＳＥＩＢＵ　ＣＬＵＢ</t>
  </si>
  <si>
    <t>セイブ　クラブ</t>
  </si>
  <si>
    <t>SEIBU CLUB</t>
  </si>
  <si>
    <t>Ｍｉｎａｒｅｔ　Ｂｌｕｅ　Ｃｌｕｂ</t>
  </si>
  <si>
    <t>ミナレットブルークラブ</t>
  </si>
  <si>
    <t>Minaret Blue Club</t>
  </si>
  <si>
    <t>ネオ上尾</t>
  </si>
  <si>
    <t>ネオアゲオ</t>
  </si>
  <si>
    <t>neoageo</t>
  </si>
  <si>
    <t>ＮＰＯ法人　フォルテＦＣ</t>
  </si>
  <si>
    <t>エヌピーオーホウジン　フォルテエフシー</t>
  </si>
  <si>
    <t>FORTE FC</t>
  </si>
  <si>
    <t>志木アクセル</t>
  </si>
  <si>
    <t>シキアクセル</t>
  </si>
  <si>
    <t>SHIKIACCEL</t>
  </si>
  <si>
    <t>Ａｌａ　Ｆｏｏｔｂａｌｌ　Ａｃａｄｅｍｙ　</t>
  </si>
  <si>
    <t>アーラフットボールアカデミー</t>
  </si>
  <si>
    <t xml:space="preserve">Ala Football Academy </t>
  </si>
  <si>
    <t>ファルカオ　　ＦＣ　　久喜</t>
  </si>
  <si>
    <t>ＦＣフェミニーノ川越</t>
  </si>
  <si>
    <t>エフシーフェミニーノカワゴエ</t>
  </si>
  <si>
    <t>FC Fenmino Kawagoe</t>
  </si>
  <si>
    <t>さいたま市立美園南中学校サッカー部</t>
  </si>
  <si>
    <t>サイタマシリツミソノミナミチュウガッコウサッカーブ</t>
  </si>
  <si>
    <t>Misono minamiJHSFC</t>
  </si>
  <si>
    <t>ＡＲＴＩＳＴＡ</t>
  </si>
  <si>
    <t>アルティスタ</t>
  </si>
  <si>
    <t>ARTISTA</t>
  </si>
  <si>
    <t>KOYO Juior high school FC</t>
  </si>
  <si>
    <t>川越市立大東中学校</t>
  </si>
  <si>
    <t>カワゴエシリツダイトウチュウガッコウ</t>
  </si>
  <si>
    <t>DAITO JUNIOR HIGH SCHOOL</t>
  </si>
  <si>
    <t>ＩＲＵＭＡ　ＣＩＴＹ　Ｆｏｏｔｂａｌｌ　Ｃｌｕｂ</t>
  </si>
  <si>
    <t>イルマシティフットボールクラブ</t>
  </si>
  <si>
    <t>IRUMA CITY Football Club</t>
  </si>
  <si>
    <t>ラウニダッド埼玉</t>
  </si>
  <si>
    <t>ラウニダッドサイタマ</t>
  </si>
  <si>
    <t>La unidad SAITAMA</t>
  </si>
  <si>
    <t>烏天狗</t>
  </si>
  <si>
    <t>カラステング</t>
  </si>
  <si>
    <t>KARASUTENGU</t>
  </si>
  <si>
    <t>1070552</t>
  </si>
  <si>
    <t>1071924</t>
  </si>
  <si>
    <t>1072280</t>
  </si>
  <si>
    <t>F020848</t>
  </si>
  <si>
    <t>時】</t>
    <rPh sb="0" eb="1">
      <t>ジ</t>
    </rPh>
    <phoneticPr fontId="3"/>
  </si>
  <si>
    <t xml:space="preserve"> 2．体育館　１F</t>
    <rPh sb="3" eb="6">
      <t>タイイクカン</t>
    </rPh>
    <phoneticPr fontId="3"/>
  </si>
  <si>
    <t xml:space="preserve"> 3．体育館　２F</t>
    <rPh sb="3" eb="5">
      <t>タイイク</t>
    </rPh>
    <rPh sb="5" eb="6">
      <t>カン</t>
    </rPh>
    <phoneticPr fontId="3"/>
  </si>
  <si>
    <t>利用団体名</t>
    <rPh sb="0" eb="2">
      <t>リヨウ</t>
    </rPh>
    <rPh sb="2" eb="4">
      <t>ダンタイ</t>
    </rPh>
    <rPh sb="4" eb="5">
      <t>メイ</t>
    </rPh>
    <phoneticPr fontId="3"/>
  </si>
  <si>
    <t>時】　～　【</t>
    <rPh sb="0" eb="1">
      <t>ジ</t>
    </rPh>
    <phoneticPr fontId="3"/>
  </si>
  <si>
    <t>申 請 年 月 日</t>
    <rPh sb="0" eb="1">
      <t>サル</t>
    </rPh>
    <rPh sb="2" eb="3">
      <t>ショウ</t>
    </rPh>
    <rPh sb="4" eb="5">
      <t>ネン</t>
    </rPh>
    <rPh sb="6" eb="7">
      <t>ツキ</t>
    </rPh>
    <rPh sb="8" eb="9">
      <t>ヒ</t>
    </rPh>
    <phoneticPr fontId="3"/>
  </si>
  <si>
    <t>月</t>
    <rPh sb="0" eb="1">
      <t>ガツ</t>
    </rPh>
    <phoneticPr fontId="3"/>
  </si>
  <si>
    <t xml:space="preserve"> 第</t>
    <rPh sb="1" eb="2">
      <t>ダイ</t>
    </rPh>
    <phoneticPr fontId="3"/>
  </si>
  <si>
    <t>　】時間</t>
    <rPh sb="2" eb="4">
      <t>ジカン</t>
    </rPh>
    <phoneticPr fontId="3"/>
  </si>
  <si>
    <t>＊</t>
    <phoneticPr fontId="3"/>
  </si>
  <si>
    <t>利用団体名を入力してください</t>
    <rPh sb="0" eb="2">
      <t>リヨウ</t>
    </rPh>
    <rPh sb="2" eb="4">
      <t>ダンタイ</t>
    </rPh>
    <rPh sb="4" eb="5">
      <t>メイ</t>
    </rPh>
    <rPh sb="6" eb="8">
      <t>ニュウリョク</t>
    </rPh>
    <phoneticPr fontId="3"/>
  </si>
  <si>
    <t>Ｆｏｒｃａ　Ｐｉｏｎｅｒｏ　川越</t>
  </si>
  <si>
    <t>フォールサ　ピオネーロ　カワゴエ</t>
  </si>
  <si>
    <t>Forca Pionero Kawagoe</t>
  </si>
  <si>
    <t>FC HANNO</t>
  </si>
  <si>
    <t>東京電機大学理工学部体育会蹴球部</t>
  </si>
  <si>
    <t>トウキョウデンキダイガクリコウガクブタイイクカイシュウキュウブ</t>
  </si>
  <si>
    <t>tokyodenkidaigakurikougakubutaiikukaisyuukyuubu</t>
  </si>
  <si>
    <t>妻沼サッカークラブ</t>
  </si>
  <si>
    <t>メヌマサッカークラブ</t>
  </si>
  <si>
    <t>menuma soccer club</t>
  </si>
  <si>
    <t>kumagayanougyoukoukou</t>
  </si>
  <si>
    <t>F.C. SOKA</t>
  </si>
  <si>
    <t>SAITAMA OMIYA MINAMI HIGH SCHOOL FC</t>
  </si>
  <si>
    <t>shumei eiko koutougakkou</t>
  </si>
  <si>
    <t>カワゴエイチリツカワゴエコウトウガッコウ</t>
  </si>
  <si>
    <t>kawagoeichiritsukawagoekoutougakkou</t>
  </si>
  <si>
    <t>yunionhuttobo-rukurabu</t>
  </si>
  <si>
    <t>一般社団法人　越谷フットボールクラブ</t>
  </si>
  <si>
    <t>イッパンシャダンホウジン　コシガヤフットボールクラブ</t>
  </si>
  <si>
    <t>ＦＯＯＴＢＡＬＬＣＬＵＢ　ＫＡＷＡＧＵＣＨＩ</t>
  </si>
  <si>
    <t>フットボールクラブ　カワグチ</t>
  </si>
  <si>
    <t>FOOTBALLCLUB KAWAGUCHI</t>
  </si>
  <si>
    <t>上尾尾山台サッカースポーツ少年団</t>
  </si>
  <si>
    <t>アゲオオヤマダイサッカースポーツショウネンダン</t>
  </si>
  <si>
    <t>ageo oyamadai soccer</t>
  </si>
  <si>
    <t>Urawa Motobuto SS</t>
  </si>
  <si>
    <t>FC SHINGO</t>
  </si>
  <si>
    <t>東松山市立北中学校（サッカー部）</t>
  </si>
  <si>
    <t>ヒガシマツヤマシリツキタチュウガッコウサッカーブ</t>
  </si>
  <si>
    <t>higashimatsuyamashiritsukitatyuugakkou</t>
  </si>
  <si>
    <t>0210913</t>
  </si>
  <si>
    <t>Kawaguchi Aoki Junior High School</t>
  </si>
  <si>
    <t>kukishirituwashinomiyahigashityugakkousakka-bu</t>
  </si>
  <si>
    <t>SUGITO JUNIOR HIGH SCHOOL</t>
  </si>
  <si>
    <t>KASUKABE OOMASHI JHS SOCCER CLUB</t>
  </si>
  <si>
    <t>さいたま市立慈恩寺中学校サッカー部</t>
  </si>
  <si>
    <t>サイタマシリツジオンジチュウガッコウサッカーブ</t>
  </si>
  <si>
    <t>saitama jionji</t>
  </si>
  <si>
    <t>0211981</t>
  </si>
  <si>
    <t>さいたま市立西原中学校サッカー部</t>
  </si>
  <si>
    <t>サイタマシリツニシハラチュウガッコウサッカーブ</t>
  </si>
  <si>
    <t>SAITAMASHI NISHIHARA JUNIOR HIGH SCHOOL FC</t>
  </si>
  <si>
    <t>0212027</t>
  </si>
  <si>
    <t>狭山市立山王中学校</t>
  </si>
  <si>
    <t>サヤマシリツサンノウチュウガッコウ</t>
  </si>
  <si>
    <t xml:space="preserve">sayama sanno FC </t>
  </si>
  <si>
    <t>0212094</t>
  </si>
  <si>
    <t>ＤＩＰＬＯＭＡＴＳ　Ｊｒ．入間Ｆ．Ｃ</t>
  </si>
  <si>
    <t>ディプロマッツジュニアイルマフットボールクラブ</t>
  </si>
  <si>
    <t>DIPLOMATS Jr FC</t>
  </si>
  <si>
    <t>秩父南サッカースポーツ少年団</t>
  </si>
  <si>
    <t>チチブミナミサッカースポーツショウネンダン</t>
  </si>
  <si>
    <t xml:space="preserve">chichibuminamifootballclub </t>
  </si>
  <si>
    <t>花の木サッカースポーツ少年団</t>
  </si>
  <si>
    <t>ハナノキサッカースポーツショウネンダン</t>
  </si>
  <si>
    <t>hananokisoccresportsshounendan</t>
  </si>
  <si>
    <t>神川パルフェサッカースポーツ少年団</t>
  </si>
  <si>
    <t>カミカワパルフェサッカースポーツショウネンダン</t>
  </si>
  <si>
    <t>kamikawaparufe</t>
  </si>
  <si>
    <t>kumagayanishi sports shounendan</t>
  </si>
  <si>
    <t>フィリアフットボールクラブ</t>
  </si>
  <si>
    <t>FILHA FC</t>
  </si>
  <si>
    <t>吉見ＳＭＣフットボールクラブ</t>
  </si>
  <si>
    <t>ヨシミエスエムシーフットボールクラブ</t>
  </si>
  <si>
    <t>YOSHIMISMCFOOTBALLCULB</t>
  </si>
  <si>
    <t>いずみＦＣジュニア</t>
  </si>
  <si>
    <t>イズミエフシージュニア</t>
  </si>
  <si>
    <t>IZUMI FC ZYUNIA</t>
  </si>
  <si>
    <t>NANSATOFC</t>
  </si>
  <si>
    <t>Koshigaya SANSHIN SSS</t>
  </si>
  <si>
    <t>TSURUGASHIMA SAKAE FC</t>
  </si>
  <si>
    <t xml:space="preserve">Team TSUCHIAI </t>
  </si>
  <si>
    <t>さいたま市立土呂中学校</t>
  </si>
  <si>
    <t>サイタマシリツトロチュウガッコウ</t>
  </si>
  <si>
    <t>TORO JUNIOR HIGH SCHOOL</t>
  </si>
  <si>
    <t>0218427</t>
  </si>
  <si>
    <t>上尾市立上尾中学校サッカー部</t>
  </si>
  <si>
    <t>アゲオシリツアゲオチュウガッコウサッカーブ</t>
  </si>
  <si>
    <t>AGEO JUNIOR HIGH SCHOOL FOOTBALL CLUB</t>
  </si>
  <si>
    <t>0218494</t>
  </si>
  <si>
    <t>KAMIYAMAGUXCHI FC</t>
  </si>
  <si>
    <t>さいたま市立与野西中学校サッカー部</t>
  </si>
  <si>
    <t>Soka  junior high school fc</t>
  </si>
  <si>
    <t>川口市立里中学校サッカー部</t>
  </si>
  <si>
    <t>カワグチシリツサトチュウガッコウサッカーブ</t>
  </si>
  <si>
    <t>KAWAGUCHI SATO JUNIOR HIGH SCHOOL FC</t>
  </si>
  <si>
    <t>0219305</t>
  </si>
  <si>
    <t>所沢市立安松中学校</t>
  </si>
  <si>
    <t>トコロザワシリツヤスマツチュウガッコウ</t>
  </si>
  <si>
    <t>TOKOROZAWASHIRITSU YASUMATSU JUNIOR HIGH SCHOOL</t>
  </si>
  <si>
    <t>0231130</t>
  </si>
  <si>
    <t>Fujiminoshiritsu ohichugakko</t>
  </si>
  <si>
    <t>鴻巣　ＦＣ　Ｃｏｍｒａｄｅ</t>
  </si>
  <si>
    <t>コウノスエフシーカムラッド</t>
  </si>
  <si>
    <t>Kounosu FC Comrade</t>
  </si>
  <si>
    <t>入間レガートＦＣ</t>
  </si>
  <si>
    <t>イルマレガートエフシー</t>
  </si>
  <si>
    <t>IRUMA LEGATO FC</t>
  </si>
  <si>
    <t>埼玉県入間市立野田中学校</t>
  </si>
  <si>
    <t>サイタマケンイルマシリツノダチュウガッコウ</t>
  </si>
  <si>
    <t>NODA.JHS.FC</t>
  </si>
  <si>
    <t>0324212</t>
  </si>
  <si>
    <t>tsurugashimaapironfootballclub</t>
  </si>
  <si>
    <t>FC GLAUX</t>
  </si>
  <si>
    <t>岩槻スリーエス</t>
  </si>
  <si>
    <t>イワツキ</t>
  </si>
  <si>
    <t>iwatukisuri-esu</t>
  </si>
  <si>
    <t>FUKUOKA J,H,S</t>
  </si>
  <si>
    <t>MISUGIDAI JUNIOR HIGH SCHOOL</t>
  </si>
  <si>
    <t>川口市立南中学校サッカー部</t>
  </si>
  <si>
    <t>カワグチシリツミナミチュウガッコウサッカーブ</t>
  </si>
  <si>
    <t>kawaguchishiritsuminamichugakkosakkaabu</t>
  </si>
  <si>
    <t>0387840</t>
  </si>
  <si>
    <t>川口市立在家中学校サッカー部</t>
  </si>
  <si>
    <t>カワグチシリツザイケチュウガッコウサッカーブ</t>
  </si>
  <si>
    <t>Zaike Junior High School FC</t>
  </si>
  <si>
    <t>0387851</t>
  </si>
  <si>
    <t>埼玉栄中学校サッカー部</t>
  </si>
  <si>
    <t>サイタマサカエチュウガッコウサッカーブ</t>
  </si>
  <si>
    <t>SAITAMA SAKAE JUNIOR HIGH SCHOOL FC</t>
  </si>
  <si>
    <t>0387862</t>
  </si>
  <si>
    <t>gyoda Jr HIGH SCHOOL</t>
  </si>
  <si>
    <t>SHIN-EI JUNIOR HIGH SCHOOL FC</t>
  </si>
  <si>
    <t>浦和西高校女子サッカー部</t>
  </si>
  <si>
    <t>ウラワニシコウコウジョシサッカーブ</t>
  </si>
  <si>
    <t>UWGFC</t>
  </si>
  <si>
    <t>朝霞市立朝霞第五中学校サッカー部</t>
  </si>
  <si>
    <t>アサカシリツアサカダイゴチュウガッコウサッカーブ</t>
  </si>
  <si>
    <t>ASAKA 5 FC</t>
  </si>
  <si>
    <t>0417899</t>
  </si>
  <si>
    <t>HIGASHIMATSUYAMA OP</t>
  </si>
  <si>
    <t>上尾ＮＥＯフットボールクラブ</t>
  </si>
  <si>
    <t>oshu</t>
  </si>
  <si>
    <t>川口市立十二月田中学校</t>
  </si>
  <si>
    <t>カワグチシリツシワスダチュウガッコウ</t>
  </si>
  <si>
    <t>kawaguchisiritusiwasudacyuugakkou</t>
  </si>
  <si>
    <t>0435024</t>
  </si>
  <si>
    <t>埼玉県鶴ヶ島市立西中学校</t>
  </si>
  <si>
    <t>サイタマケンツルガシマシリツニシチュウガッコウ</t>
  </si>
  <si>
    <t>saitamaken tsurugashima nishi chugakkou</t>
  </si>
  <si>
    <t>0435271</t>
  </si>
  <si>
    <t>アイトク　レ　エム　フットボール　クラブ</t>
  </si>
  <si>
    <t>オリヴェイレンセジャパンアカデミー</t>
  </si>
  <si>
    <t>OLIVEIRENSE JAPAN ACADEMY</t>
  </si>
  <si>
    <t>川越市立富士見中学校</t>
  </si>
  <si>
    <t>カワゴエシリツフジミチュウガッコウ</t>
  </si>
  <si>
    <t>KFC</t>
  </si>
  <si>
    <t>0511984</t>
  </si>
  <si>
    <t>tsurugashimaapironfootballclubjunior</t>
  </si>
  <si>
    <t>フィリアフットボールクラブジュニア</t>
  </si>
  <si>
    <t>filhajr</t>
  </si>
  <si>
    <t>ＦＣ熊谷ＰＲＥＣＩＯＳＡ　Ｊｒ</t>
  </si>
  <si>
    <t>エフシークマガヤプレシオッサジュニア</t>
  </si>
  <si>
    <t>FC KUMAGAYA PRECIOSA JR</t>
  </si>
  <si>
    <t>さいたま市立大谷口中学校</t>
  </si>
  <si>
    <t>サイタマシリツオオヤグチチュウガッコウ</t>
  </si>
  <si>
    <t>OHYAGUCHI Jr HIGH SCHOOL</t>
  </si>
  <si>
    <t>1036954</t>
  </si>
  <si>
    <t>川越市立東中学校</t>
  </si>
  <si>
    <t>カワゴエシリツヒガシチュウガッコウ</t>
  </si>
  <si>
    <t>kawagoehigasi junior high school</t>
  </si>
  <si>
    <t>1037609</t>
  </si>
  <si>
    <t>Fujimisiritunishityugakkou</t>
  </si>
  <si>
    <t>川越市立川越西中学校</t>
  </si>
  <si>
    <t>カワゴエシリツカワゴエニシチュウガッコウ</t>
  </si>
  <si>
    <t>kawagoeshiritukawagoenishichuugattukou</t>
  </si>
  <si>
    <t>1055696</t>
  </si>
  <si>
    <t>志木市立宗岡中学校</t>
  </si>
  <si>
    <t>シキシリツムネオカチュウガッコウ</t>
  </si>
  <si>
    <t>muneoka junior high school</t>
  </si>
  <si>
    <t>1057485</t>
  </si>
  <si>
    <t>川口市立元郷中学校サッカー部</t>
  </si>
  <si>
    <t>カワグチシリツモトゴウチュウガッコウサッカーブ</t>
  </si>
  <si>
    <t>MOTOGOU JUNIOR HIGH SCHOOL FC</t>
  </si>
  <si>
    <t>1063851</t>
  </si>
  <si>
    <t>所沢市立山口中学校サッカー部</t>
  </si>
  <si>
    <t>トコロザワシリツヤマグチチュウガッコウサッカーブ</t>
  </si>
  <si>
    <t>TOKOROZAWA YAMAGUTI JUNIOR HIGH SCHOOL FC</t>
  </si>
  <si>
    <t>1064759</t>
  </si>
  <si>
    <t>ＦＣ古谷</t>
  </si>
  <si>
    <t>エフシーフルヤ</t>
  </si>
  <si>
    <t>FC FURUYA</t>
  </si>
  <si>
    <t>CONFIANZA SC</t>
  </si>
  <si>
    <t>Ｒａｙｕｒｅｓ．ＦＣ</t>
  </si>
  <si>
    <t>レユールエフシー</t>
  </si>
  <si>
    <t>RAYURES FC</t>
  </si>
  <si>
    <t>川里ＦＣ</t>
  </si>
  <si>
    <t>カワサトエフシー</t>
  </si>
  <si>
    <t>KAWASATO FC</t>
  </si>
  <si>
    <t>埼玉県立越生高等学校サッカー部</t>
  </si>
  <si>
    <t>サイタマケンリツオゴセコウトウガッコウサッカーブ</t>
  </si>
  <si>
    <t>OGOSE HIGH SCHOOL FC</t>
  </si>
  <si>
    <t>北本高校女子サッカー部</t>
  </si>
  <si>
    <t>キタモトコウコウジョシサッカーブ</t>
  </si>
  <si>
    <t>ＦＣブラックジャガースポーツ少年団</t>
  </si>
  <si>
    <t>エフシーブラックジャガースポーツショウネンダン</t>
  </si>
  <si>
    <t>FC BLACKJAGUAR JUNIOR SPORT CLUBS ASSOCIATION</t>
  </si>
  <si>
    <t>上尾南イレブンスポーツ少年団</t>
  </si>
  <si>
    <t>アゲオミナミイレブン</t>
  </si>
  <si>
    <t>AGEO MINAMI ELEVEN SS</t>
  </si>
  <si>
    <t>西武台新座中学校サッカー部</t>
  </si>
  <si>
    <t>セイブダイニイザチュウガッコウサッカーブ</t>
  </si>
  <si>
    <t>Seibudai Niza Junior High School Soccer Club</t>
  </si>
  <si>
    <t>1073751</t>
  </si>
  <si>
    <t>ＦＣＧａｒｃｅｌｏｎａ越谷シニア</t>
  </si>
  <si>
    <t>エフシーガルセロナコシガヤシニア</t>
  </si>
  <si>
    <t>FCGarcelona KOSHIGAYA SENIOR</t>
  </si>
  <si>
    <t>ＦＣ　れいわ</t>
  </si>
  <si>
    <t>エフシー　レイワ</t>
  </si>
  <si>
    <t>FC REIWA</t>
  </si>
  <si>
    <t>ＡＣアルマレッザ入間ｌａｚｏ</t>
  </si>
  <si>
    <t>エーシーアルマレッザイルマラソ</t>
  </si>
  <si>
    <t>AC Almaleza Iruma lazo</t>
  </si>
  <si>
    <t>Ａｒｅａ</t>
  </si>
  <si>
    <t>エリア</t>
  </si>
  <si>
    <t>Area</t>
  </si>
  <si>
    <t>繋信ＦＣ</t>
  </si>
  <si>
    <t>ケイシンエフシー</t>
  </si>
  <si>
    <t>KEISHIN FC</t>
  </si>
  <si>
    <t>ＦＣ．ＦＵＪＩＭＩ</t>
  </si>
  <si>
    <t>エフシーフジミ</t>
  </si>
  <si>
    <t>FC.FUJIMI</t>
  </si>
  <si>
    <t>原山クラブ</t>
  </si>
  <si>
    <t>ハラヤマクラブ</t>
  </si>
  <si>
    <t>HARAYAMA  CLUB</t>
  </si>
  <si>
    <t>ＦＣ　ＢＥＥ川口</t>
  </si>
  <si>
    <t>エフシービーカワグチ</t>
  </si>
  <si>
    <t>FC BEE KAWAGUCHI</t>
  </si>
  <si>
    <t>浦和　フットボールクラブ　ヴィーナス</t>
  </si>
  <si>
    <t>ウラワ　フットボールクラブ　ヴィーナス</t>
  </si>
  <si>
    <t>URAWA FOOTBALL CULB VENUS</t>
  </si>
  <si>
    <t>ＲＦＣ　ＶＥＳＰＡＳ</t>
  </si>
  <si>
    <t>アールエフシー　ヴェスパス</t>
  </si>
  <si>
    <t>RFC VESPAS</t>
  </si>
  <si>
    <t>ＫＡＹＺＥＲ　　ＦＯＯＴＢＡＬＬ　　ＣＬＵＢ　</t>
  </si>
  <si>
    <t>カイザーフットボールクラブ</t>
  </si>
  <si>
    <t xml:space="preserve">KAYZER  FOOTBALL  CLUB </t>
  </si>
  <si>
    <t>ＰＲＥＤＡＤＯＲＥＳ　Ｅ．Ｃ．</t>
  </si>
  <si>
    <t>プレダドーレスイーシー</t>
  </si>
  <si>
    <t>PREDADORES E.C.</t>
  </si>
  <si>
    <t>アイヴェント羽生</t>
  </si>
  <si>
    <t>アイヴェントハニュウ</t>
  </si>
  <si>
    <t>AIVENT HANYU</t>
  </si>
  <si>
    <t>ＦＣアルベスタ小川スポーツ少年団</t>
  </si>
  <si>
    <t>エフシーアルベスタオガワスポーツショウネンダン</t>
  </si>
  <si>
    <t>FC ALVESTA OGAWA</t>
  </si>
  <si>
    <t>三室西駿クラブ</t>
  </si>
  <si>
    <t>ミムロセイシュンクラブ</t>
  </si>
  <si>
    <t>Mimuro Seishun Club</t>
  </si>
  <si>
    <t>ＴＡＣＫＹ‘Ｓ</t>
  </si>
  <si>
    <t>タッキーズ</t>
  </si>
  <si>
    <t>TACKY`S</t>
  </si>
  <si>
    <t>ＦＣ　ＫＩＬＯＮＧＡ</t>
  </si>
  <si>
    <t>エフシー　キロンガ</t>
  </si>
  <si>
    <t>FC KILONGA</t>
  </si>
  <si>
    <t>礼羽サッカースポーツ少年団</t>
  </si>
  <si>
    <t>ライハサッカースポーツショウネンダン</t>
  </si>
  <si>
    <t>RAIHA Soccer Sports Boy Scouts</t>
  </si>
  <si>
    <t>ダイナモ川越ＦＣ</t>
  </si>
  <si>
    <t>ダイナモカワゴエエフシー</t>
  </si>
  <si>
    <t>DYNAMOKAWAGOEFC</t>
  </si>
  <si>
    <t>Ｕｓｈｉｊｉｍａ　Ｕｎｉｔｅｄ　ＦＣ</t>
  </si>
  <si>
    <t>ウシジマユナイテッドエフシー</t>
  </si>
  <si>
    <t>USHIJIMA UNITED FC</t>
  </si>
  <si>
    <t>深谷上柴東サッカースポーツ少年団</t>
  </si>
  <si>
    <t>フカヤカミシバヒガシサッカースポーツショウネンダン</t>
  </si>
  <si>
    <t>fukayakamishibahigashi sss</t>
  </si>
  <si>
    <t>ＦＵＴ　ＭＥＳＳＥ川口　ＦＣ</t>
  </si>
  <si>
    <t>フットメッセカワグチエフシー</t>
  </si>
  <si>
    <t>FUT MESSE KAWAGUCHI FC</t>
  </si>
  <si>
    <t>ＦＣ　Ｃｅｒｅｓｏｌｅ</t>
  </si>
  <si>
    <t>エフシー　セレソール</t>
  </si>
  <si>
    <t>FC Ceresole</t>
  </si>
  <si>
    <t>ＲＣＤエスパニョールジャパンアカデミー</t>
  </si>
  <si>
    <t>アールシーディーエスパニョールジャパンアカデミー</t>
  </si>
  <si>
    <t>rcd espanyol japan academy</t>
  </si>
  <si>
    <t>ＦＣ　Ｃｏｎｓｏｒｔｅ埼玉</t>
  </si>
  <si>
    <t>エフシーコンソルテサイタマ</t>
  </si>
  <si>
    <t>FC ConsorteSAITAMA</t>
  </si>
  <si>
    <t>ＳＪＢ</t>
  </si>
  <si>
    <t>エスジェイビー</t>
  </si>
  <si>
    <t>SJB</t>
  </si>
  <si>
    <t>オリエンスフットボールクラブ</t>
  </si>
  <si>
    <t>ORIENS FC</t>
  </si>
  <si>
    <t>フボルフッチボールクルーベ</t>
  </si>
  <si>
    <t>JUBOL F?tbol culb</t>
  </si>
  <si>
    <t>Ｆｏｏｔｂａｌｌ　Ｃｌｕｂ　児玉</t>
  </si>
  <si>
    <t>フットボールクラブコダマ</t>
  </si>
  <si>
    <t>Football club Kodama</t>
  </si>
  <si>
    <t>ランゲ浦池</t>
  </si>
  <si>
    <t>ランゲウライケ</t>
  </si>
  <si>
    <t>RANGE URAIKE</t>
  </si>
  <si>
    <t>エフシーカスカベ</t>
  </si>
  <si>
    <t>FCKASUKABE</t>
  </si>
  <si>
    <t>ＢＲＩＬＬＡＲＦＣ</t>
  </si>
  <si>
    <t>ブリジャールエフシー</t>
  </si>
  <si>
    <t>BRIILAR FC</t>
  </si>
  <si>
    <t>アヴェントゥーラ川口シルバー</t>
  </si>
  <si>
    <t>アヴェントゥーラカワグチシルバー</t>
  </si>
  <si>
    <t>AVENTURA KAWAGUCHI SILVER</t>
  </si>
  <si>
    <t>川越バタタ</t>
  </si>
  <si>
    <t>カワゴエバタタ</t>
  </si>
  <si>
    <t>KAWAGOEBATATA</t>
  </si>
  <si>
    <t>ＦＣ　ＷＩＮＧＳ</t>
  </si>
  <si>
    <t>エフシー　ウイングス</t>
  </si>
  <si>
    <t>FC WINGS</t>
  </si>
  <si>
    <t>吉川中学校サッカー部</t>
  </si>
  <si>
    <t>ヨシカワチュウガッコウサッカーブ</t>
  </si>
  <si>
    <t xml:space="preserve">YOSHIKAWA JUNIOR HIGH SCHOOL </t>
  </si>
  <si>
    <t>1080193</t>
  </si>
  <si>
    <t>Ｆ．Ｃ．Ｇｅｒｍｅｒ</t>
  </si>
  <si>
    <t>エフシージェルメ</t>
  </si>
  <si>
    <t>F.C.Germer</t>
  </si>
  <si>
    <t>ＲＥＤＯＮＤＯ　ＦＣ</t>
  </si>
  <si>
    <t>レドンドエフシー</t>
  </si>
  <si>
    <t>REDONDO FC</t>
  </si>
  <si>
    <t>MENUMA JUNIOR HIGH SCHOOL</t>
  </si>
  <si>
    <t>1080377</t>
  </si>
  <si>
    <t>南中学校サッカー部</t>
  </si>
  <si>
    <t>ミナミチュウガッコウサッカーブ</t>
  </si>
  <si>
    <t>MINAMI JUNIOR HIGH SCHOOL</t>
  </si>
  <si>
    <t>1080391</t>
  </si>
  <si>
    <t>ガナドールフットボールクラブ</t>
  </si>
  <si>
    <t>GANADOR FOOTBALL CLUB</t>
  </si>
  <si>
    <t>ＡＯＨ　Ｆｕｔｓａｌ　Ｃｌｕｂ</t>
  </si>
  <si>
    <t>カリエンテ／埼玉フットサルクラブ</t>
  </si>
  <si>
    <t>カリエンテサイタマフットサルクラブ</t>
  </si>
  <si>
    <t>CALIENTE/SaitamaFutsalClub</t>
  </si>
  <si>
    <t>ＧＲＡＢ　ＦＵＴＳＡＬ　ＣＬＵＢ</t>
  </si>
  <si>
    <t>グラブフットサルクラブ</t>
  </si>
  <si>
    <t>GRAB FUTSAL CLUB</t>
  </si>
  <si>
    <t>Ｉｆ　Ｌｅｖａｎｔｅ　Ｆｕｔｅｂｏｌ　Ｃｌｕｂｅ　Ｕ－１８</t>
  </si>
  <si>
    <t>イフ　レバンテ　フットボール　クラブ　ユージュウハチ</t>
  </si>
  <si>
    <t>If Levante Futebol Clube U-18</t>
  </si>
  <si>
    <t>F014304</t>
  </si>
  <si>
    <t>josai university</t>
  </si>
  <si>
    <t>F022132</t>
  </si>
  <si>
    <t>Ｐ－ｓｐｉｄｅｒ所沢</t>
  </si>
  <si>
    <t>ピースパイダートコロザワ</t>
  </si>
  <si>
    <t>P-spider TOKOROZAWA</t>
  </si>
  <si>
    <t>F022163</t>
  </si>
  <si>
    <t>ＡＯＨ　Ｌａｄｉｅｓ　Ｆｕｔｓａｌ　Ｃｌｕｂ</t>
  </si>
  <si>
    <t>エーオーエイチレディースフットサルクラブ</t>
  </si>
  <si>
    <t>AOH Ladies Futsal Club</t>
  </si>
  <si>
    <t>F022378</t>
  </si>
  <si>
    <t>YAMAMURA KOKUSAI HIGH SCHOOL</t>
  </si>
  <si>
    <t>※「報告予定日」欄に「○」がある事業は日本協会への報告期日とする</t>
    <rPh sb="2" eb="4">
      <t>ホウコク</t>
    </rPh>
    <rPh sb="4" eb="7">
      <t>ヨテイビ</t>
    </rPh>
    <rPh sb="8" eb="9">
      <t>ラン</t>
    </rPh>
    <rPh sb="16" eb="18">
      <t>ジギョウ</t>
    </rPh>
    <rPh sb="19" eb="21">
      <t>ニホン</t>
    </rPh>
    <rPh sb="21" eb="23">
      <t>キョウカイ</t>
    </rPh>
    <rPh sb="25" eb="27">
      <t>ホウコク</t>
    </rPh>
    <rPh sb="27" eb="29">
      <t>キジツ</t>
    </rPh>
    <phoneticPr fontId="3"/>
  </si>
  <si>
    <t>事業
グループ</t>
    <rPh sb="0" eb="2">
      <t>ジギョウ</t>
    </rPh>
    <phoneticPr fontId="3"/>
  </si>
  <si>
    <t>事業内容</t>
    <rPh sb="0" eb="2">
      <t>ジギョウ</t>
    </rPh>
    <rPh sb="2" eb="4">
      <t>ナイヨウ</t>
    </rPh>
    <phoneticPr fontId="3"/>
  </si>
  <si>
    <t>開催日程</t>
    <rPh sb="0" eb="2">
      <t>カイサイ</t>
    </rPh>
    <rPh sb="2" eb="4">
      <t>ニッテイ</t>
    </rPh>
    <phoneticPr fontId="3"/>
  </si>
  <si>
    <t xml:space="preserve"> 事業費　計
      　+   </t>
    <rPh sb="1" eb="4">
      <t>ジギョウヒ</t>
    </rPh>
    <rPh sb="5" eb="6">
      <t>ケイ</t>
    </rPh>
    <phoneticPr fontId="3"/>
  </si>
  <si>
    <t>前年度額
(全合計)</t>
    <rPh sb="0" eb="3">
      <t>ゼンネンド</t>
    </rPh>
    <rPh sb="3" eb="4">
      <t>ガク</t>
    </rPh>
    <rPh sb="4" eb="5">
      <t>ジツガク</t>
    </rPh>
    <rPh sb="6" eb="7">
      <t>ゼン</t>
    </rPh>
    <rPh sb="7" eb="9">
      <t>ゴウケイ</t>
    </rPh>
    <phoneticPr fontId="3"/>
  </si>
  <si>
    <t>前年度
参加料</t>
    <rPh sb="0" eb="3">
      <t>ゼンネンド</t>
    </rPh>
    <rPh sb="4" eb="7">
      <t>サンカリョウ</t>
    </rPh>
    <phoneticPr fontId="3"/>
  </si>
  <si>
    <t>ﾌﾟﾛｸﾞﾗﾑ販売収入</t>
    <rPh sb="7" eb="9">
      <t>ハンバイ</t>
    </rPh>
    <rPh sb="9" eb="11">
      <t>シュウニュウ</t>
    </rPh>
    <phoneticPr fontId="3"/>
  </si>
  <si>
    <t>　※合計額は受益者負担/講習会分を除く</t>
    <rPh sb="2" eb="4">
      <t>ゴウケイ</t>
    </rPh>
    <rPh sb="4" eb="5">
      <t>ガク</t>
    </rPh>
    <rPh sb="6" eb="9">
      <t>ジュエキシャ</t>
    </rPh>
    <rPh sb="9" eb="11">
      <t>フタン</t>
    </rPh>
    <rPh sb="12" eb="15">
      <t>コウシュウカイ</t>
    </rPh>
    <rPh sb="15" eb="16">
      <t>ブン</t>
    </rPh>
    <rPh sb="17" eb="18">
      <t>ノゾ</t>
    </rPh>
    <phoneticPr fontId="3"/>
  </si>
  <si>
    <t>*　トップレフェリー育成</t>
    <rPh sb="10" eb="12">
      <t>イクセイ</t>
    </rPh>
    <phoneticPr fontId="3"/>
  </si>
  <si>
    <t>第1種委員会</t>
    <phoneticPr fontId="3"/>
  </si>
  <si>
    <t>第1種委員会運営費</t>
    <rPh sb="6" eb="9">
      <t>ウンエイヒ</t>
    </rPh>
    <phoneticPr fontId="3"/>
  </si>
  <si>
    <t>第1種委員会　集計</t>
    <phoneticPr fontId="3"/>
  </si>
  <si>
    <t>社会人連盟　集計</t>
    <rPh sb="3" eb="5">
      <t>レンメイ</t>
    </rPh>
    <phoneticPr fontId="3"/>
  </si>
  <si>
    <t>自治体連盟　集計</t>
    <rPh sb="3" eb="5">
      <t>レンメイ</t>
    </rPh>
    <phoneticPr fontId="3"/>
  </si>
  <si>
    <t>大学連盟　集計</t>
    <phoneticPr fontId="3"/>
  </si>
  <si>
    <t>第2種委員会</t>
    <phoneticPr fontId="3"/>
  </si>
  <si>
    <t>第2種委員会　集計</t>
    <phoneticPr fontId="3"/>
  </si>
  <si>
    <t>高体連　集計</t>
    <rPh sb="0" eb="3">
      <t>コウタイレン</t>
    </rPh>
    <phoneticPr fontId="3"/>
  </si>
  <si>
    <t>U-18クラブ連盟　集計</t>
    <phoneticPr fontId="3"/>
  </si>
  <si>
    <t>第3種委員会</t>
    <phoneticPr fontId="3"/>
  </si>
  <si>
    <t>第3種委員会　集計</t>
    <phoneticPr fontId="3"/>
  </si>
  <si>
    <t>中体連　集計</t>
    <rPh sb="0" eb="3">
      <t>チュウタイレン</t>
    </rPh>
    <phoneticPr fontId="3"/>
  </si>
  <si>
    <t>U-15クラブ連盟　集計</t>
    <rPh sb="7" eb="9">
      <t>レンメイ</t>
    </rPh>
    <phoneticPr fontId="3"/>
  </si>
  <si>
    <t>第4種委員会</t>
    <phoneticPr fontId="3"/>
  </si>
  <si>
    <t>第4種委員会運営費</t>
    <rPh sb="6" eb="9">
      <t>ウンエイヒ</t>
    </rPh>
    <phoneticPr fontId="3"/>
  </si>
  <si>
    <t xml:space="preserve">第4種委員会　集計 </t>
    <rPh sb="7" eb="9">
      <t>シュウケイ</t>
    </rPh>
    <phoneticPr fontId="3"/>
  </si>
  <si>
    <t xml:space="preserve">少年連盟　集計 </t>
    <rPh sb="0" eb="2">
      <t>ショウネン</t>
    </rPh>
    <rPh sb="2" eb="4">
      <t>レンメイ</t>
    </rPh>
    <rPh sb="5" eb="7">
      <t>シュウケイ</t>
    </rPh>
    <phoneticPr fontId="3"/>
  </si>
  <si>
    <t>埼玉県クラブユースサッカー選手権U-12会長杯</t>
    <rPh sb="20" eb="22">
      <t>カイチョウ</t>
    </rPh>
    <phoneticPr fontId="3"/>
  </si>
  <si>
    <t xml:space="preserve">U-12クラブ連盟　集計 </t>
    <rPh sb="7" eb="9">
      <t>レンメイ</t>
    </rPh>
    <rPh sb="10" eb="12">
      <t>シュウケイ</t>
    </rPh>
    <phoneticPr fontId="3"/>
  </si>
  <si>
    <t>***　関東協会補助金
持ち回り、今年度開催</t>
    <rPh sb="12" eb="13">
      <t>モ</t>
    </rPh>
    <rPh sb="14" eb="15">
      <t>マワ</t>
    </rPh>
    <rPh sb="17" eb="20">
      <t>コンネンド</t>
    </rPh>
    <rPh sb="20" eb="22">
      <t>カイサイ</t>
    </rPh>
    <phoneticPr fontId="3"/>
  </si>
  <si>
    <t>女子連盟　集計</t>
    <rPh sb="2" eb="4">
      <t>レンメイ</t>
    </rPh>
    <phoneticPr fontId="3"/>
  </si>
  <si>
    <t>高体連女子　集計</t>
    <rPh sb="0" eb="3">
      <t>コウタイレン</t>
    </rPh>
    <phoneticPr fontId="3"/>
  </si>
  <si>
    <t xml:space="preserve">HIGASHIMATSUYAMAMINAMISAMBASOCCERCLUB </t>
  </si>
  <si>
    <t>本田研友会サッカー部</t>
  </si>
  <si>
    <t>ホンダケンユウカイサッカーブ</t>
  </si>
  <si>
    <t>hondakenyukaisakka-bu</t>
  </si>
  <si>
    <t>Urawa Red Diamonds</t>
  </si>
  <si>
    <t>Omiya Ardija</t>
  </si>
  <si>
    <t>KASUKABE H.S.A.F.C</t>
  </si>
  <si>
    <t>Sakaehigashi High School</t>
  </si>
  <si>
    <t>ＦＣ狭山ジュニアユース</t>
  </si>
  <si>
    <t>エフシーサヤマジュニアユース</t>
  </si>
  <si>
    <t xml:space="preserve">FC sayama junior youth </t>
  </si>
  <si>
    <t>浦和常盤サッカースポーツ少年団</t>
  </si>
  <si>
    <t>ウラワトキワサッカースポーツショウネンダン</t>
  </si>
  <si>
    <t>UrawaTokiwaSoccerSportsSyonendan</t>
  </si>
  <si>
    <t>KSS</t>
  </si>
  <si>
    <t>yanagisakisoccerclubjunior</t>
  </si>
  <si>
    <t>戸塚ＦＣガールズＵ１２</t>
  </si>
  <si>
    <t>トヅカエフシーガールズユージュウニ</t>
  </si>
  <si>
    <t>tozukafootballclubgirlsU12</t>
  </si>
  <si>
    <t>Ｆ・Ｃ・ＭＩＳＴＲＡＬ</t>
  </si>
  <si>
    <t>エフシーミストラル</t>
  </si>
  <si>
    <t>FCMISTRAL</t>
  </si>
  <si>
    <t>サカド　エフシー</t>
  </si>
  <si>
    <t>藤沢ＦＣ</t>
  </si>
  <si>
    <t>フジサワエフシー</t>
  </si>
  <si>
    <t>fujisawafc</t>
  </si>
  <si>
    <t>富士見ジュニアサッカークラブ</t>
  </si>
  <si>
    <t>フジミジュニアサッカークラブ</t>
  </si>
  <si>
    <t>fujimijuniorsoccerclub</t>
  </si>
  <si>
    <t>ＦＣチベッタ深谷</t>
  </si>
  <si>
    <t>ＦＣ吉岡長井</t>
  </si>
  <si>
    <t>エフシーヨシオカナガイ</t>
  </si>
  <si>
    <t>FC Yoshioka Nagai</t>
  </si>
  <si>
    <t>WEリーグ</t>
  </si>
  <si>
    <t>上高野ＦＣ</t>
  </si>
  <si>
    <t>カミタカノエフシー</t>
  </si>
  <si>
    <t>KAMITAKANO FC</t>
  </si>
  <si>
    <t>sunahara sc</t>
  </si>
  <si>
    <t>Ｈ．Ｇ．Ｃ１９９０</t>
  </si>
  <si>
    <t>H.G.C1990</t>
  </si>
  <si>
    <t>FC.FREDS</t>
  </si>
  <si>
    <t>ＣＡＬＩＥＮＴＥ　ＫＵＭＡＧＡＹＡ</t>
  </si>
  <si>
    <t>カリエンテ　クマガヤ</t>
  </si>
  <si>
    <t>CALIENTE KUMAGAYA</t>
  </si>
  <si>
    <t>プレジールスポーツクラブ</t>
  </si>
  <si>
    <t>plaisir sports club</t>
  </si>
  <si>
    <t>プレジールスポーツクラブジュニア</t>
  </si>
  <si>
    <t>PLAISIR SPORTS CLUB Jr</t>
  </si>
  <si>
    <t>ちふれＡＳエルフェン埼玉マリＵー１８</t>
  </si>
  <si>
    <t>チフレエーエスエルフェンサイタママリアンダージュウハチ</t>
  </si>
  <si>
    <t>CHIFURE AS ELFEN SAITAMA MARI U-18</t>
  </si>
  <si>
    <t>ＣａｐＦＣ</t>
  </si>
  <si>
    <t>キャップエフシー</t>
  </si>
  <si>
    <t>CapFC</t>
  </si>
  <si>
    <t>エフシーツチノコ</t>
  </si>
  <si>
    <t>ＦＣ　ＫＡＳＵＫＡＢＥ　Ｕ－１５</t>
  </si>
  <si>
    <t>エフシーカスカベユージュウゴ</t>
  </si>
  <si>
    <t>リバティ埼玉ＳＣ</t>
  </si>
  <si>
    <t>リバティサイタマエスシー</t>
  </si>
  <si>
    <t>LIBERTY SAITAMA SC</t>
  </si>
  <si>
    <t>ＡｚｕＬｅｎｔｅ　ＫＡＺＯ　Ｕ－１２</t>
  </si>
  <si>
    <t>アスレンテカゾユウジュウニ</t>
  </si>
  <si>
    <t>AzuLente KAZO U-12</t>
  </si>
  <si>
    <t>ｓａｌｌｅｒ　Ｆｏｏｔｂａｌｌ　Ａｃａｄｅｍｙ</t>
  </si>
  <si>
    <t>ザラーフットボールアカデミー</t>
  </si>
  <si>
    <t>saller Football Academy</t>
  </si>
  <si>
    <t>ＦＣ．西武台</t>
  </si>
  <si>
    <t xml:space="preserve">FC.SEIBUDAI </t>
  </si>
  <si>
    <t>ＡｚｕＬｅｎｔｅ　ＫＡＺＯ</t>
  </si>
  <si>
    <t>アスレンテカゾ</t>
  </si>
  <si>
    <t>azulente kazo</t>
  </si>
  <si>
    <t>大宮アルディージャＶＥＮＴＵＳ　Ｕ１５</t>
  </si>
  <si>
    <t>オオミヤアルディージャベントスユウジュウゴ</t>
  </si>
  <si>
    <t>OMIYA ARDIJA VENTUS U-15</t>
  </si>
  <si>
    <t>Ｓａｉｔａｍａ　ｅａｓｔ　ＳＶ　</t>
  </si>
  <si>
    <t>サイタマイーストエスファウ</t>
  </si>
  <si>
    <t>Saitama east SV</t>
  </si>
  <si>
    <t>Ｆ．ＭＥＩＳＴＥＲ</t>
  </si>
  <si>
    <t>アンフィ二越谷２０２０ＦＣ</t>
  </si>
  <si>
    <t>アンフィニコシガニイマルニイマルエフシー</t>
  </si>
  <si>
    <t>INFINIKOSIGAYA2020FC</t>
  </si>
  <si>
    <t>ＦＣカラスト埼玉南西</t>
  </si>
  <si>
    <t>エフシーカラストサイタマナンセイ</t>
  </si>
  <si>
    <t>FC COLOST SAITAMANANSEI</t>
  </si>
  <si>
    <t>KITAMOTO HIGH SCHOOL GIRL'S SOCCER</t>
  </si>
  <si>
    <t>大宮アルディージャＶＥＮＴＵＳ</t>
  </si>
  <si>
    <t>オオミヤアルディージャベントス</t>
  </si>
  <si>
    <t>OMIYA ARDIJA VENTUS</t>
  </si>
  <si>
    <t>ＮＡＭＥＧＡＷＡ　ＳＣ</t>
  </si>
  <si>
    <t>ナメガワ　サッカ－クラブ</t>
  </si>
  <si>
    <t>namegawa SC</t>
  </si>
  <si>
    <t>ＳＴＲ三郷</t>
  </si>
  <si>
    <t>エスティーアールミサト</t>
  </si>
  <si>
    <t>STR MISATO</t>
  </si>
  <si>
    <t>城西大学体育会サッカー部レディース</t>
  </si>
  <si>
    <t>ジョウサイダイガクタイイクカイサッカーブレディース</t>
  </si>
  <si>
    <t>Josai University Ladies</t>
  </si>
  <si>
    <t>ちふれＡＳエルフェン埼玉マリＵ－１５</t>
  </si>
  <si>
    <t>チフレエーエスエルフェンサイタママリアンダージュウゴ</t>
  </si>
  <si>
    <t>CHIFURE AS ELFEN SAITAMA MARI U-15</t>
  </si>
  <si>
    <t>戸塚ＦＣガールズＵ１５</t>
  </si>
  <si>
    <t>トヅカエフシーガールズユージュウゴ</t>
  </si>
  <si>
    <t>tozukafootballclubgirlsU15</t>
  </si>
  <si>
    <t>藤沢東サッカースポーツ少年団</t>
  </si>
  <si>
    <t>フジサワヒガシサッカースポーツショウネンダン</t>
  </si>
  <si>
    <t>FUJISAWAHIGASHI SSS</t>
  </si>
  <si>
    <t>ＦＣスペラールｔｏｄａ</t>
  </si>
  <si>
    <t>エフシースペラールトダ</t>
  </si>
  <si>
    <t>FC SUPERAR TODA</t>
  </si>
  <si>
    <t>豊春ジャガーズＦＣスポーツ少年団</t>
  </si>
  <si>
    <t>トヨハルジャガーズエフシースポーツショウネンダン</t>
  </si>
  <si>
    <t>toyoharujaguars</t>
  </si>
  <si>
    <t>上柴西サッカースポーツ少年団</t>
  </si>
  <si>
    <t>カミシバニシサッカースポーツショウネンダン</t>
  </si>
  <si>
    <t>KAMISHIBANIHI S.S.S</t>
  </si>
  <si>
    <t>川越東ＦＣ</t>
  </si>
  <si>
    <t>カワゴエヒガシエフシー</t>
  </si>
  <si>
    <t>KAWAGOE EAST FC</t>
  </si>
  <si>
    <t>ＦＣ　ＫＡＳＵＫＡＢＥ　Ｕ－１２</t>
  </si>
  <si>
    <t>エフシーカスカベユージュウニ</t>
  </si>
  <si>
    <t>FC KASUKABE U-12</t>
  </si>
  <si>
    <t>川口ＦＣセカンド</t>
  </si>
  <si>
    <t>カワグフットボールクラブセカンド</t>
  </si>
  <si>
    <t>kawaguchiFCsecond</t>
  </si>
  <si>
    <t>足猿ＦＣ</t>
  </si>
  <si>
    <t>アシザルエフシー</t>
  </si>
  <si>
    <t>ASHIZARU FC</t>
  </si>
  <si>
    <t>三郷Ｊｒ．ＹｏｕｔｈＦＣＵ－１２Ｃ．Ｆ．ＰＡＳＩＯＮ</t>
  </si>
  <si>
    <t>ミサトジュニアユースエフシーアンダージュウニシーエフパシオン</t>
  </si>
  <si>
    <t>MISATOJr.YouthFCU-12C.F.PASION</t>
  </si>
  <si>
    <t>上尾チャンキース</t>
  </si>
  <si>
    <t>アゲオチャンキース</t>
  </si>
  <si>
    <t>Ageo chankees</t>
  </si>
  <si>
    <t>ＦＣ．Ｇｌａｎｅｄｅｎ</t>
  </si>
  <si>
    <t>エフシーグランエデン</t>
  </si>
  <si>
    <t>FC.Glaneden</t>
  </si>
  <si>
    <t>ＣＯＥＤＯ　ＫＡＷＡＧＯＥ　Ｆ．Ｃ</t>
  </si>
  <si>
    <t>コエド　カワゴエ　エフシー</t>
  </si>
  <si>
    <t>COEDO KAWAGOE F.C</t>
  </si>
  <si>
    <t>_x0001__x0001_Ｖｏｌｏｎｔａ　Ｏｒｉｅｎｔａｌｅ</t>
  </si>
  <si>
    <t>ヴォロンタオリエンターレ</t>
  </si>
  <si>
    <t>Volonta Orientale</t>
  </si>
  <si>
    <t>ＦＣ　Ｌｉｂｅｒｔａ</t>
  </si>
  <si>
    <t>エフシーリベルタ</t>
  </si>
  <si>
    <t>FC LIBERTA</t>
  </si>
  <si>
    <t>ネクサスＳＶ</t>
  </si>
  <si>
    <t>ネクサスエスファウ</t>
  </si>
  <si>
    <t>NEXUSSV</t>
  </si>
  <si>
    <t>ＦＣ　ＩＮＦＩＮＩＴＯ　Ｕ－１５</t>
  </si>
  <si>
    <t>エフシーインフィニトアンダージュウゴ</t>
  </si>
  <si>
    <t>FC INFINITO U-15</t>
  </si>
  <si>
    <t>フットボールクラブソルース埼玉</t>
  </si>
  <si>
    <t>フットボールクラブソルースサイタマ</t>
  </si>
  <si>
    <t>FOOTBALLCLUB SOLUZSAITAMA</t>
  </si>
  <si>
    <t>川越ＦＵＴＵＲＥジュニアユース</t>
  </si>
  <si>
    <t>カワゴエフューチャージュニアユース</t>
  </si>
  <si>
    <t>kawagoe future junior youth</t>
  </si>
  <si>
    <t>ＦＫヤドラン</t>
  </si>
  <si>
    <t>エフケーヤドラン</t>
  </si>
  <si>
    <t>FK YADORAN</t>
  </si>
  <si>
    <t>Ｆ．Ｃ．ＳＴＩＭＯＬＡＮＴＥ</t>
  </si>
  <si>
    <t>エフシースティモランテ</t>
  </si>
  <si>
    <t>F.C.STIMOLANTE</t>
  </si>
  <si>
    <t>さつまいーも川越</t>
  </si>
  <si>
    <t>サツマイーモカワゴエ</t>
  </si>
  <si>
    <t>SATSUMAIMOKAWAGOE</t>
  </si>
  <si>
    <t>ホンダテクニカルカレッジ関東</t>
  </si>
  <si>
    <t>ホンダテクニカルカレッジカントウ</t>
  </si>
  <si>
    <t>HONDA Technical College KANTO</t>
  </si>
  <si>
    <t>ＦＣ　　ｕｎｉｔｅｄ</t>
  </si>
  <si>
    <t>エフシー　ユナイテッド</t>
  </si>
  <si>
    <t>FC  united</t>
  </si>
  <si>
    <t>なかよしＳＣ</t>
  </si>
  <si>
    <t>ナカヨシエスシー</t>
  </si>
  <si>
    <t>NAKAYOSHI SC</t>
  </si>
  <si>
    <t>烏天狗ｊｒ　ＦＣ</t>
  </si>
  <si>
    <t>カラステングジュニアエフシー</t>
  </si>
  <si>
    <t>KARASUTENGU JR FC</t>
  </si>
  <si>
    <t>ＣＦＣ　ヌークレオ</t>
  </si>
  <si>
    <t>シーエフシーヌークレオ</t>
  </si>
  <si>
    <t>CFC Nucleo</t>
  </si>
  <si>
    <t>ＲＥＧＲＥ</t>
  </si>
  <si>
    <t>レグレ</t>
  </si>
  <si>
    <t>REGRE</t>
  </si>
  <si>
    <t>F023726</t>
  </si>
  <si>
    <t>2021（令和3）年度事業費一覧</t>
    <rPh sb="5" eb="7">
      <t>レイワ</t>
    </rPh>
    <rPh sb="9" eb="11">
      <t>ネンド</t>
    </rPh>
    <rPh sb="11" eb="14">
      <t>ジギョウヒ</t>
    </rPh>
    <rPh sb="14" eb="16">
      <t>イチラン</t>
    </rPh>
    <phoneticPr fontId="3"/>
  </si>
  <si>
    <t>開催
回</t>
    <rPh sb="0" eb="2">
      <t>カイサイ</t>
    </rPh>
    <rPh sb="3" eb="4">
      <t>カイ</t>
    </rPh>
    <phoneticPr fontId="62"/>
  </si>
  <si>
    <t>事業名</t>
    <rPh sb="0" eb="2">
      <t>ジギョウ</t>
    </rPh>
    <rPh sb="2" eb="3">
      <t>メイ</t>
    </rPh>
    <phoneticPr fontId="62"/>
  </si>
  <si>
    <r>
      <t xml:space="preserve"> </t>
    </r>
    <r>
      <rPr>
        <sz val="9.5"/>
        <rFont val="ＭＳ Ｐゴシック"/>
        <family val="3"/>
        <charset val="128"/>
      </rPr>
      <t>JFA・関東
 他補助金</t>
    </r>
    <rPh sb="5" eb="7">
      <t>カントウ</t>
    </rPh>
    <rPh sb="9" eb="10">
      <t>ホカ</t>
    </rPh>
    <rPh sb="10" eb="13">
      <t>ホジョキン</t>
    </rPh>
    <phoneticPr fontId="3"/>
  </si>
  <si>
    <t>県協会
以外収入</t>
    <rPh sb="0" eb="1">
      <t>ケン</t>
    </rPh>
    <rPh sb="1" eb="3">
      <t>キョウカイ</t>
    </rPh>
    <rPh sb="4" eb="6">
      <t>イガイ</t>
    </rPh>
    <rPh sb="6" eb="8">
      <t>シュウニュウ</t>
    </rPh>
    <phoneticPr fontId="3"/>
  </si>
  <si>
    <t>SFAFC
利用料</t>
    <rPh sb="6" eb="9">
      <t>リヨウリョウ</t>
    </rPh>
    <phoneticPr fontId="3"/>
  </si>
  <si>
    <t>A・B級指導者候補選考会（トライアル）/受益者負担</t>
    <rPh sb="3" eb="4">
      <t>キュウ</t>
    </rPh>
    <rPh sb="4" eb="7">
      <t>シドウシャ</t>
    </rPh>
    <rPh sb="7" eb="9">
      <t>コウホ</t>
    </rPh>
    <rPh sb="9" eb="12">
      <t>センコウカイ</t>
    </rPh>
    <phoneticPr fontId="62"/>
  </si>
  <si>
    <t>B級コーチ養成講習会　年間2コース/受益者負担</t>
    <rPh sb="1" eb="2">
      <t>キュウ</t>
    </rPh>
    <rPh sb="5" eb="7">
      <t>ヨウセイ</t>
    </rPh>
    <rPh sb="7" eb="10">
      <t>コウシュウカイ</t>
    </rPh>
    <rPh sb="11" eb="12">
      <t>ネン</t>
    </rPh>
    <rPh sb="12" eb="13">
      <t>カン</t>
    </rPh>
    <phoneticPr fontId="62"/>
  </si>
  <si>
    <t>C級コーチ養成講習会　年間6コース/受益者負担</t>
    <rPh sb="1" eb="2">
      <t>キュウ</t>
    </rPh>
    <rPh sb="5" eb="7">
      <t>ヨウセイ</t>
    </rPh>
    <rPh sb="7" eb="10">
      <t>コウシュウカイ</t>
    </rPh>
    <rPh sb="11" eb="12">
      <t>ネン</t>
    </rPh>
    <rPh sb="12" eb="13">
      <t>カン</t>
    </rPh>
    <phoneticPr fontId="62"/>
  </si>
  <si>
    <t>*　JFA/47FA一括補助金（一部）
（指導者養成講習会として一部）</t>
    <rPh sb="16" eb="18">
      <t>イチブ</t>
    </rPh>
    <phoneticPr fontId="3"/>
  </si>
  <si>
    <t>D級コーチ養成講習会　年間10コース/受益者負担</t>
    <rPh sb="1" eb="2">
      <t>キュウ</t>
    </rPh>
    <rPh sb="5" eb="7">
      <t>ヨウセイ</t>
    </rPh>
    <rPh sb="7" eb="10">
      <t>コウシュウカイ</t>
    </rPh>
    <rPh sb="11" eb="13">
      <t>ネンカン</t>
    </rPh>
    <phoneticPr fontId="62"/>
  </si>
  <si>
    <t>リフレッシュ研修会　年間12コース/受益者負担</t>
    <rPh sb="6" eb="8">
      <t>ケンシュウ</t>
    </rPh>
    <rPh sb="8" eb="9">
      <t>カイ</t>
    </rPh>
    <rPh sb="10" eb="11">
      <t>ネン</t>
    </rPh>
    <rPh sb="11" eb="12">
      <t>カン</t>
    </rPh>
    <phoneticPr fontId="62"/>
  </si>
  <si>
    <t>埼玉県サッカーカンファレンス/受益者負担</t>
    <rPh sb="0" eb="3">
      <t>サイタマケン</t>
    </rPh>
    <phoneticPr fontId="62"/>
  </si>
  <si>
    <t>47FAインストラクター研修会</t>
    <rPh sb="12" eb="15">
      <t>ケンシュウカイ</t>
    </rPh>
    <phoneticPr fontId="62"/>
  </si>
  <si>
    <t>JFA費用負担あり</t>
  </si>
  <si>
    <t>埼玉県サッカーコーチアカデミー/受益者負担</t>
    <rPh sb="0" eb="3">
      <t>サイタマケン</t>
    </rPh>
    <phoneticPr fontId="3"/>
  </si>
  <si>
    <t>18</t>
    <phoneticPr fontId="3"/>
  </si>
  <si>
    <t>キッズリーダー養成講習会　年間10コース/受益者負担</t>
    <rPh sb="7" eb="9">
      <t>ヨウセイ</t>
    </rPh>
    <rPh sb="9" eb="12">
      <t>コウシュウカイ</t>
    </rPh>
    <rPh sb="13" eb="14">
      <t>ネン</t>
    </rPh>
    <rPh sb="14" eb="15">
      <t>カン</t>
    </rPh>
    <phoneticPr fontId="62"/>
  </si>
  <si>
    <t>フットサルC級コーチ養成講習会/受益者負担</t>
    <rPh sb="6" eb="7">
      <t>キュウ</t>
    </rPh>
    <rPh sb="10" eb="12">
      <t>ヨウセイ</t>
    </rPh>
    <rPh sb="12" eb="15">
      <t>コウシュウカイ</t>
    </rPh>
    <phoneticPr fontId="62"/>
  </si>
  <si>
    <t>20</t>
    <phoneticPr fontId="3"/>
  </si>
  <si>
    <t>その他指導者講習会</t>
    <rPh sb="2" eb="3">
      <t>タ</t>
    </rPh>
    <phoneticPr fontId="62"/>
  </si>
  <si>
    <t>*　県トレーニングセンターU-16</t>
    <rPh sb="2" eb="3">
      <t>ケン</t>
    </rPh>
    <phoneticPr fontId="3"/>
  </si>
  <si>
    <r>
      <t xml:space="preserve">*　JFA/47FA一括補助金（一部）
</t>
    </r>
    <r>
      <rPr>
        <sz val="10"/>
        <rFont val="ＭＳ Ｐゴシック"/>
        <family val="3"/>
        <charset val="128"/>
      </rPr>
      <t>関東分担金80,000は県協会支出</t>
    </r>
    <rPh sb="20" eb="22">
      <t>カントウ</t>
    </rPh>
    <rPh sb="22" eb="25">
      <t>ブンタンキン</t>
    </rPh>
    <rPh sb="32" eb="33">
      <t>ケン</t>
    </rPh>
    <rPh sb="33" eb="35">
      <t>キョウカイ</t>
    </rPh>
    <rPh sb="35" eb="37">
      <t>シシュツ</t>
    </rPh>
    <phoneticPr fontId="3"/>
  </si>
  <si>
    <t>*　県トレーニングセンターU-15.U-14.U-13</t>
    <rPh sb="2" eb="3">
      <t>ケン</t>
    </rPh>
    <phoneticPr fontId="62"/>
  </si>
  <si>
    <r>
      <t xml:space="preserve">*　JFA/47FA一括補助金（一部）
</t>
    </r>
    <r>
      <rPr>
        <sz val="10"/>
        <rFont val="ＭＳ Ｐゴシック"/>
        <family val="3"/>
        <charset val="128"/>
      </rPr>
      <t>関東分担金40,000×3学年は県協会支出</t>
    </r>
    <rPh sb="10" eb="12">
      <t>イッカツ</t>
    </rPh>
    <rPh sb="12" eb="15">
      <t>ホジョキン</t>
    </rPh>
    <rPh sb="24" eb="25">
      <t>キン</t>
    </rPh>
    <rPh sb="33" eb="35">
      <t>ガクネン</t>
    </rPh>
    <phoneticPr fontId="3"/>
  </si>
  <si>
    <t>*　県トレーニングセンターU-12</t>
    <rPh sb="2" eb="3">
      <t>ケン</t>
    </rPh>
    <phoneticPr fontId="62"/>
  </si>
  <si>
    <r>
      <t xml:space="preserve">*　JFA/47FA一括補助金（一部）
</t>
    </r>
    <r>
      <rPr>
        <sz val="10"/>
        <rFont val="ＭＳ Ｐゴシック"/>
        <family val="3"/>
        <charset val="128"/>
      </rPr>
      <t>関東分担金40,000は県協会支出</t>
    </r>
    <rPh sb="10" eb="12">
      <t>イッカツ</t>
    </rPh>
    <rPh sb="12" eb="15">
      <t>ホジョキン</t>
    </rPh>
    <rPh sb="24" eb="25">
      <t>キン</t>
    </rPh>
    <phoneticPr fontId="3"/>
  </si>
  <si>
    <t>****JFA関東ガールズ・エイト（U12）サッカー大会</t>
    <rPh sb="7" eb="9">
      <t>カントウ</t>
    </rPh>
    <phoneticPr fontId="62"/>
  </si>
  <si>
    <t>*　県女子トレーニングセンターU-16.U-15.U-14.U-13</t>
    <rPh sb="2" eb="3">
      <t>ケン</t>
    </rPh>
    <rPh sb="3" eb="5">
      <t>ジョシ</t>
    </rPh>
    <phoneticPr fontId="62"/>
  </si>
  <si>
    <t>*　JFA/47FA一括補助金</t>
    <rPh sb="10" eb="12">
      <t>イッカツ</t>
    </rPh>
    <rPh sb="12" eb="15">
      <t>ホジョキン</t>
    </rPh>
    <phoneticPr fontId="3"/>
  </si>
  <si>
    <t>*　県GKトレーニングセンター</t>
    <rPh sb="2" eb="3">
      <t>ケン</t>
    </rPh>
    <phoneticPr fontId="3"/>
  </si>
  <si>
    <t>*　ユースダイレクター活動</t>
    <rPh sb="11" eb="13">
      <t>カツドウ</t>
    </rPh>
    <phoneticPr fontId="62"/>
  </si>
  <si>
    <t>*　U-12モデル地区トレセン　川越</t>
    <rPh sb="9" eb="11">
      <t>チク</t>
    </rPh>
    <rPh sb="16" eb="18">
      <t>カワゴエ</t>
    </rPh>
    <phoneticPr fontId="62"/>
  </si>
  <si>
    <t>*　U-12モデル地区トレセン　越谷</t>
    <rPh sb="9" eb="11">
      <t>チク</t>
    </rPh>
    <rPh sb="16" eb="18">
      <t>コシガヤ</t>
    </rPh>
    <phoneticPr fontId="62"/>
  </si>
  <si>
    <t>*　トライアルSFA（中学生の環境充実）</t>
    <phoneticPr fontId="3"/>
  </si>
  <si>
    <t>81</t>
    <phoneticPr fontId="3"/>
  </si>
  <si>
    <t>*　国体関連（ブロック大会出場・練習・強化等）</t>
    <rPh sb="2" eb="4">
      <t>コクタイ</t>
    </rPh>
    <rPh sb="4" eb="6">
      <t>カンレン</t>
    </rPh>
    <phoneticPr fontId="62"/>
  </si>
  <si>
    <t>*　国体関連（本大会出場・練習・強化等）</t>
    <rPh sb="2" eb="4">
      <t>コクタイ</t>
    </rPh>
    <rPh sb="4" eb="6">
      <t>カンレン</t>
    </rPh>
    <rPh sb="7" eb="10">
      <t>ホンタイカイ</t>
    </rPh>
    <rPh sb="10" eb="12">
      <t>シュツジョウ</t>
    </rPh>
    <rPh sb="13" eb="15">
      <t>レンシュウ</t>
    </rPh>
    <rPh sb="16" eb="18">
      <t>キョウカ</t>
    </rPh>
    <rPh sb="18" eb="19">
      <t>トウ</t>
    </rPh>
    <phoneticPr fontId="62"/>
  </si>
  <si>
    <r>
      <t xml:space="preserve">*　JFA/47FA一括補助金
</t>
    </r>
    <r>
      <rPr>
        <sz val="10"/>
        <rFont val="ＭＳ Ｐゴシック"/>
        <family val="3"/>
        <charset val="128"/>
      </rPr>
      <t>（本大会出場時は考慮あり）</t>
    </r>
    <rPh sb="10" eb="12">
      <t>イッカツ</t>
    </rPh>
    <rPh sb="12" eb="15">
      <t>ホジョキン</t>
    </rPh>
    <rPh sb="17" eb="20">
      <t>ホンタイカイ</t>
    </rPh>
    <rPh sb="20" eb="22">
      <t>シュツジョウ</t>
    </rPh>
    <rPh sb="22" eb="23">
      <t>ジ</t>
    </rPh>
    <rPh sb="24" eb="26">
      <t>コウリョ</t>
    </rPh>
    <phoneticPr fontId="3"/>
  </si>
  <si>
    <t>県費・県スポーツ協会補助（国体関ブロ・国体本大会補助、国体強化他）</t>
    <rPh sb="9" eb="10">
      <t>カイ</t>
    </rPh>
    <rPh sb="10" eb="12">
      <t>ホジョ</t>
    </rPh>
    <rPh sb="13" eb="15">
      <t>コクタイ</t>
    </rPh>
    <rPh sb="15" eb="16">
      <t>カン</t>
    </rPh>
    <rPh sb="19" eb="21">
      <t>コクタイ</t>
    </rPh>
    <rPh sb="21" eb="24">
      <t>ホンタイカイ</t>
    </rPh>
    <rPh sb="24" eb="26">
      <t>ホジョ</t>
    </rPh>
    <rPh sb="27" eb="29">
      <t>コクタイ</t>
    </rPh>
    <rPh sb="29" eb="31">
      <t>キョウカ</t>
    </rPh>
    <rPh sb="31" eb="32">
      <t>ホカ</t>
    </rPh>
    <phoneticPr fontId="62"/>
  </si>
  <si>
    <t>随時</t>
    <rPh sb="0" eb="2">
      <t>ズイジ</t>
    </rPh>
    <phoneticPr fontId="3"/>
  </si>
  <si>
    <t>技術委員会運営費</t>
    <rPh sb="0" eb="2">
      <t>ギジュツ</t>
    </rPh>
    <rPh sb="2" eb="5">
      <t>イインカイ</t>
    </rPh>
    <phoneticPr fontId="62"/>
  </si>
  <si>
    <t>82</t>
    <phoneticPr fontId="3"/>
  </si>
  <si>
    <t>審判研修会派遣</t>
    <rPh sb="0" eb="2">
      <t>シンパン</t>
    </rPh>
    <rPh sb="2" eb="5">
      <t>ケンシュウカイ</t>
    </rPh>
    <rPh sb="5" eb="7">
      <t>ハケン</t>
    </rPh>
    <phoneticPr fontId="62"/>
  </si>
  <si>
    <t>*　サッカー審判・インストラクター派遣</t>
    <rPh sb="6" eb="8">
      <t>シンパン</t>
    </rPh>
    <rPh sb="17" eb="19">
      <t>ハケン</t>
    </rPh>
    <phoneticPr fontId="62"/>
  </si>
  <si>
    <t>*　フットサル・ビーチサッカー部会運営</t>
    <rPh sb="15" eb="17">
      <t>ブカイ</t>
    </rPh>
    <rPh sb="17" eb="19">
      <t>ウンエイ</t>
    </rPh>
    <phoneticPr fontId="62"/>
  </si>
  <si>
    <t>*　JFA/47FA一括補助金（一部）</t>
    <rPh sb="10" eb="12">
      <t>イッカツ</t>
    </rPh>
    <rPh sb="12" eb="15">
      <t>ホジョキン</t>
    </rPh>
    <rPh sb="16" eb="18">
      <t>イチブ</t>
    </rPh>
    <phoneticPr fontId="3"/>
  </si>
  <si>
    <t>***　サッカー審判員派遣（県内各種大会）</t>
    <rPh sb="8" eb="10">
      <t>シンパン</t>
    </rPh>
    <rPh sb="10" eb="11">
      <t>イン</t>
    </rPh>
    <rPh sb="11" eb="13">
      <t>ハケン</t>
    </rPh>
    <rPh sb="14" eb="16">
      <t>ケンナイ</t>
    </rPh>
    <rPh sb="16" eb="18">
      <t>カクシュ</t>
    </rPh>
    <rPh sb="18" eb="20">
      <t>タイカイ</t>
    </rPh>
    <phoneticPr fontId="62"/>
  </si>
  <si>
    <t>*　サッカー審判員登録普及</t>
    <rPh sb="6" eb="8">
      <t>シンパン</t>
    </rPh>
    <rPh sb="8" eb="9">
      <t>イン</t>
    </rPh>
    <rPh sb="9" eb="11">
      <t>トウロク</t>
    </rPh>
    <rPh sb="11" eb="13">
      <t>フキュウ</t>
    </rPh>
    <phoneticPr fontId="62"/>
  </si>
  <si>
    <t>**　JFA都道府県審判トレーニングセンター</t>
    <rPh sb="6" eb="10">
      <t>トドウフケン</t>
    </rPh>
    <rPh sb="10" eb="12">
      <t>シンパン</t>
    </rPh>
    <phoneticPr fontId="62"/>
  </si>
  <si>
    <t>**　JFA/47FA一括補助金　※必須</t>
    <rPh sb="11" eb="13">
      <t>イッカツ</t>
    </rPh>
    <rPh sb="13" eb="16">
      <t>ホジョキン</t>
    </rPh>
    <rPh sb="18" eb="20">
      <t>ヒッス</t>
    </rPh>
    <phoneticPr fontId="3"/>
  </si>
  <si>
    <t>**　JFA都道府県審判トレーニングセンター（女子）</t>
    <rPh sb="6" eb="10">
      <t>トドウフケン</t>
    </rPh>
    <rPh sb="10" eb="12">
      <t>シンパン</t>
    </rPh>
    <phoneticPr fontId="62"/>
  </si>
  <si>
    <t>**　JFA/47FA一括補助金　※必須</t>
    <phoneticPr fontId="3"/>
  </si>
  <si>
    <t>2.3級審判員更新講習会開催</t>
    <rPh sb="3" eb="4">
      <t>キュウ</t>
    </rPh>
    <rPh sb="4" eb="7">
      <t>シンパンイン</t>
    </rPh>
    <rPh sb="7" eb="9">
      <t>コウシン</t>
    </rPh>
    <rPh sb="9" eb="11">
      <t>コウシュウ</t>
    </rPh>
    <rPh sb="11" eb="12">
      <t>カイ</t>
    </rPh>
    <rPh sb="12" eb="14">
      <t>カイサイ</t>
    </rPh>
    <phoneticPr fontId="62"/>
  </si>
  <si>
    <t>28</t>
  </si>
  <si>
    <t>参加料徴収あり（kick off/事務局）</t>
    <rPh sb="0" eb="3">
      <t>サンカリョウ</t>
    </rPh>
    <rPh sb="3" eb="5">
      <t>チョウシュウ</t>
    </rPh>
    <rPh sb="17" eb="20">
      <t>ジムキョク</t>
    </rPh>
    <phoneticPr fontId="3"/>
  </si>
  <si>
    <t>*　女性審判員育成</t>
    <rPh sb="2" eb="4">
      <t>ジョセイ</t>
    </rPh>
    <rPh sb="4" eb="6">
      <t>シンパン</t>
    </rPh>
    <rPh sb="6" eb="7">
      <t>イン</t>
    </rPh>
    <rPh sb="7" eb="9">
      <t>イクセイ</t>
    </rPh>
    <phoneticPr fontId="62"/>
  </si>
  <si>
    <t>*　レフェリーアカデミー</t>
    <phoneticPr fontId="62"/>
  </si>
  <si>
    <t>*　審判委員会東西南北地区運営</t>
    <rPh sb="2" eb="7">
      <t>シンパンイインカイ</t>
    </rPh>
    <rPh sb="7" eb="11">
      <t>トウザイナンボク</t>
    </rPh>
    <rPh sb="11" eb="13">
      <t>チク</t>
    </rPh>
    <rPh sb="13" eb="15">
      <t>ウンエイ</t>
    </rPh>
    <phoneticPr fontId="62"/>
  </si>
  <si>
    <t>アフター10費用　※予備</t>
    <rPh sb="6" eb="8">
      <t>ヒヨウ</t>
    </rPh>
    <rPh sb="10" eb="12">
      <t>ヨビ</t>
    </rPh>
    <phoneticPr fontId="62"/>
  </si>
  <si>
    <t>市町審判委員長会議</t>
    <rPh sb="0" eb="1">
      <t>シ</t>
    </rPh>
    <rPh sb="1" eb="2">
      <t>マチ</t>
    </rPh>
    <rPh sb="2" eb="4">
      <t>シンパン</t>
    </rPh>
    <rPh sb="4" eb="7">
      <t>イインチョウ</t>
    </rPh>
    <rPh sb="7" eb="9">
      <t>カイギ</t>
    </rPh>
    <phoneticPr fontId="62"/>
  </si>
  <si>
    <t>*　審判委員会運営費</t>
    <rPh sb="2" eb="4">
      <t>シンパン</t>
    </rPh>
    <rPh sb="4" eb="7">
      <t>イインカイ</t>
    </rPh>
    <phoneticPr fontId="62"/>
  </si>
  <si>
    <t>83</t>
    <phoneticPr fontId="3"/>
  </si>
  <si>
    <t>*　彩の国カップ埼玉県サッカー選手権大会</t>
    <rPh sb="2" eb="3">
      <t>アヤ</t>
    </rPh>
    <rPh sb="4" eb="5">
      <t>クニ</t>
    </rPh>
    <rPh sb="8" eb="11">
      <t>サイタマケン</t>
    </rPh>
    <rPh sb="15" eb="18">
      <t>センシュケン</t>
    </rPh>
    <rPh sb="18" eb="20">
      <t>タイカイ</t>
    </rPh>
    <phoneticPr fontId="62"/>
  </si>
  <si>
    <t>埼玉県社会人サッカー連盟</t>
    <rPh sb="0" eb="3">
      <t>サイタマケン</t>
    </rPh>
    <rPh sb="3" eb="5">
      <t>シャカイ</t>
    </rPh>
    <rPh sb="5" eb="6">
      <t>ジン</t>
    </rPh>
    <rPh sb="10" eb="12">
      <t>レンメイ</t>
    </rPh>
    <phoneticPr fontId="29"/>
  </si>
  <si>
    <t>*　埼玉県社会人サッカー連盟会長杯予選兼彩の国カップ1次予選</t>
    <rPh sb="2" eb="5">
      <t>サイタマケン</t>
    </rPh>
    <rPh sb="5" eb="7">
      <t>シャカイ</t>
    </rPh>
    <rPh sb="7" eb="8">
      <t>ジン</t>
    </rPh>
    <rPh sb="12" eb="14">
      <t>レンメイ</t>
    </rPh>
    <rPh sb="14" eb="16">
      <t>カイチョウ</t>
    </rPh>
    <rPh sb="15" eb="16">
      <t>シャカイ</t>
    </rPh>
    <rPh sb="17" eb="19">
      <t>ヨセン</t>
    </rPh>
    <rPh sb="19" eb="20">
      <t>ケン</t>
    </rPh>
    <rPh sb="20" eb="21">
      <t>サイ</t>
    </rPh>
    <rPh sb="22" eb="23">
      <t>クニ</t>
    </rPh>
    <rPh sb="27" eb="28">
      <t>ジ</t>
    </rPh>
    <rPh sb="28" eb="30">
      <t>ヨセン</t>
    </rPh>
    <phoneticPr fontId="62"/>
  </si>
  <si>
    <t>*　埼玉県社会人サッカー連盟会長杯兼彩の国カップ2次予選</t>
    <rPh sb="2" eb="5">
      <t>サイタマケン</t>
    </rPh>
    <rPh sb="5" eb="7">
      <t>シャカイ</t>
    </rPh>
    <rPh sb="7" eb="8">
      <t>ジン</t>
    </rPh>
    <rPh sb="14" eb="16">
      <t>カイチョウ</t>
    </rPh>
    <rPh sb="16" eb="17">
      <t>ハイ</t>
    </rPh>
    <rPh sb="25" eb="26">
      <t>ジ</t>
    </rPh>
    <rPh sb="26" eb="28">
      <t>ヨセン</t>
    </rPh>
    <phoneticPr fontId="62"/>
  </si>
  <si>
    <t>全国クラブチームサッカー選手権大会埼玉県大会</t>
    <rPh sb="0" eb="2">
      <t>ゼンコク</t>
    </rPh>
    <rPh sb="12" eb="15">
      <t>センシュケン</t>
    </rPh>
    <rPh sb="15" eb="17">
      <t>タイカイ</t>
    </rPh>
    <rPh sb="17" eb="20">
      <t>サイタマケン</t>
    </rPh>
    <rPh sb="20" eb="22">
      <t>タイカイ</t>
    </rPh>
    <phoneticPr fontId="62"/>
  </si>
  <si>
    <t>***　関東社会人サッカー大会</t>
    <rPh sb="4" eb="6">
      <t>カントウ</t>
    </rPh>
    <rPh sb="6" eb="8">
      <t>シャカイ</t>
    </rPh>
    <rPh sb="8" eb="9">
      <t>ジン</t>
    </rPh>
    <rPh sb="13" eb="15">
      <t>タイカイ</t>
    </rPh>
    <phoneticPr fontId="62"/>
  </si>
  <si>
    <t>**　東日本社会人サッカー大会</t>
    <rPh sb="3" eb="4">
      <t>ヒガシ</t>
    </rPh>
    <rPh sb="4" eb="6">
      <t>ニホン</t>
    </rPh>
    <rPh sb="6" eb="9">
      <t>シャカイジン</t>
    </rPh>
    <rPh sb="13" eb="15">
      <t>タイカイ</t>
    </rPh>
    <phoneticPr fontId="62"/>
  </si>
  <si>
    <t>***全国クラブチームサッカー選手権関東大会</t>
    <rPh sb="3" eb="5">
      <t>ゼンコク</t>
    </rPh>
    <rPh sb="15" eb="17">
      <t>センシュ</t>
    </rPh>
    <rPh sb="17" eb="18">
      <t>ケン</t>
    </rPh>
    <rPh sb="18" eb="20">
      <t>カントウ</t>
    </rPh>
    <rPh sb="20" eb="22">
      <t>タイカイ</t>
    </rPh>
    <phoneticPr fontId="62"/>
  </si>
  <si>
    <t>全国地域リーグ決勝大会決勝ラウンド</t>
    <rPh sb="0" eb="2">
      <t>ゼンコク</t>
    </rPh>
    <rPh sb="2" eb="4">
      <t>チイキ</t>
    </rPh>
    <rPh sb="11" eb="13">
      <t>ケッショウ</t>
    </rPh>
    <phoneticPr fontId="62"/>
  </si>
  <si>
    <t>全国社会人サッカー選手権大会関東予選（6試合）</t>
    <rPh sb="0" eb="2">
      <t>ゼンコク</t>
    </rPh>
    <rPh sb="2" eb="4">
      <t>シャカイ</t>
    </rPh>
    <rPh sb="4" eb="5">
      <t>ジン</t>
    </rPh>
    <rPh sb="9" eb="12">
      <t>センシュケン</t>
    </rPh>
    <rPh sb="12" eb="14">
      <t>タイカイ</t>
    </rPh>
    <rPh sb="14" eb="16">
      <t>カントウ</t>
    </rPh>
    <rPh sb="16" eb="18">
      <t>ヨセン</t>
    </rPh>
    <rPh sb="20" eb="22">
      <t>シアイ</t>
    </rPh>
    <phoneticPr fontId="62"/>
  </si>
  <si>
    <r>
      <rPr>
        <sz val="10"/>
        <rFont val="ＭＳ Ｐゴシック"/>
        <family val="3"/>
        <charset val="128"/>
      </rPr>
      <t>*　</t>
    </r>
    <r>
      <rPr>
        <sz val="10"/>
        <rFont val="ＭＳ Ｐゴシック"/>
        <family val="3"/>
        <charset val="128"/>
      </rPr>
      <t>埼玉県社会人サッカーリーグ1・2・3部</t>
    </r>
    <phoneticPr fontId="3"/>
  </si>
  <si>
    <t>*　埼玉県市町村対抗戦兼県民総合スポーツ大会</t>
    <rPh sb="2" eb="5">
      <t>サイタマケン</t>
    </rPh>
    <rPh sb="5" eb="6">
      <t>シ</t>
    </rPh>
    <rPh sb="6" eb="7">
      <t>マチ</t>
    </rPh>
    <rPh sb="7" eb="8">
      <t>ソン</t>
    </rPh>
    <rPh sb="8" eb="10">
      <t>タイコウ</t>
    </rPh>
    <rPh sb="10" eb="11">
      <t>セン</t>
    </rPh>
    <rPh sb="11" eb="12">
      <t>ケン</t>
    </rPh>
    <phoneticPr fontId="62"/>
  </si>
  <si>
    <t>*　ブロックリーグ決勝大会</t>
    <rPh sb="9" eb="11">
      <t>ケッショウ</t>
    </rPh>
    <rPh sb="11" eb="13">
      <t>タイカイ</t>
    </rPh>
    <phoneticPr fontId="62"/>
  </si>
  <si>
    <t>全国社会人サッカー大会関東予選最終代表決定戦</t>
    <rPh sb="0" eb="2">
      <t>ゼンコク</t>
    </rPh>
    <rPh sb="2" eb="4">
      <t>シャカイ</t>
    </rPh>
    <rPh sb="4" eb="5">
      <t>ジン</t>
    </rPh>
    <rPh sb="9" eb="11">
      <t>タイカイ</t>
    </rPh>
    <rPh sb="11" eb="13">
      <t>カントウ</t>
    </rPh>
    <rPh sb="13" eb="15">
      <t>ヨセン</t>
    </rPh>
    <rPh sb="15" eb="17">
      <t>サイシュウ</t>
    </rPh>
    <rPh sb="17" eb="19">
      <t>ダイヒョウ</t>
    </rPh>
    <rPh sb="19" eb="22">
      <t>ケッテイセン</t>
    </rPh>
    <phoneticPr fontId="62"/>
  </si>
  <si>
    <t>社会人リーグ選抜交流戦/埼玉・栃木・千葉・東京(交流定期戦）</t>
    <rPh sb="0" eb="2">
      <t>シャカイ</t>
    </rPh>
    <rPh sb="2" eb="3">
      <t>ジン</t>
    </rPh>
    <rPh sb="6" eb="8">
      <t>センバツ</t>
    </rPh>
    <rPh sb="7" eb="10">
      <t>コウリュウセン</t>
    </rPh>
    <rPh sb="10" eb="11">
      <t>イクサ</t>
    </rPh>
    <rPh sb="12" eb="14">
      <t>サイタマ</t>
    </rPh>
    <rPh sb="15" eb="17">
      <t>トチギ</t>
    </rPh>
    <rPh sb="18" eb="20">
      <t>チバ</t>
    </rPh>
    <rPh sb="24" eb="26">
      <t>コウリュウ</t>
    </rPh>
    <rPh sb="26" eb="28">
      <t>テイキ</t>
    </rPh>
    <rPh sb="28" eb="29">
      <t>セン</t>
    </rPh>
    <phoneticPr fontId="62"/>
  </si>
  <si>
    <t>県リーグ1.2.3部昇降格決定戦</t>
    <rPh sb="0" eb="1">
      <t>ケン</t>
    </rPh>
    <rPh sb="9" eb="10">
      <t>ブ</t>
    </rPh>
    <rPh sb="10" eb="11">
      <t>ショウ</t>
    </rPh>
    <rPh sb="11" eb="13">
      <t>コウカク</t>
    </rPh>
    <rPh sb="13" eb="16">
      <t>ケッテイセン</t>
    </rPh>
    <phoneticPr fontId="62"/>
  </si>
  <si>
    <t>日本スポーツマスターズ関東大会</t>
    <rPh sb="0" eb="2">
      <t>ニホン</t>
    </rPh>
    <rPh sb="11" eb="13">
      <t>カントウ</t>
    </rPh>
    <rPh sb="13" eb="15">
      <t>タイカイ</t>
    </rPh>
    <phoneticPr fontId="62"/>
  </si>
  <si>
    <t>社会人サッカー連盟助成金</t>
    <rPh sb="0" eb="2">
      <t>シャカイ</t>
    </rPh>
    <rPh sb="2" eb="3">
      <t>ジン</t>
    </rPh>
    <rPh sb="7" eb="9">
      <t>レンメイ</t>
    </rPh>
    <rPh sb="9" eb="12">
      <t>ジョセイキン</t>
    </rPh>
    <phoneticPr fontId="62"/>
  </si>
  <si>
    <t>埼玉県自治体職員サッカー連盟</t>
    <rPh sb="0" eb="3">
      <t>サイタマケン</t>
    </rPh>
    <rPh sb="3" eb="6">
      <t>ジチタイ</t>
    </rPh>
    <rPh sb="6" eb="8">
      <t>ショクイン</t>
    </rPh>
    <rPh sb="12" eb="14">
      <t>レンメイ</t>
    </rPh>
    <phoneticPr fontId="29"/>
  </si>
  <si>
    <t>埼玉県自治体職員サッカー選手権大会　※</t>
    <rPh sb="0" eb="3">
      <t>サイタマケン</t>
    </rPh>
    <rPh sb="3" eb="6">
      <t>ジチタイ</t>
    </rPh>
    <rPh sb="6" eb="8">
      <t>ショクイン</t>
    </rPh>
    <rPh sb="12" eb="15">
      <t>センシュケン</t>
    </rPh>
    <rPh sb="15" eb="17">
      <t>タイカイ</t>
    </rPh>
    <phoneticPr fontId="62"/>
  </si>
  <si>
    <t>※オリンピック開催年のため全国自治体職員サッカー大会中止</t>
    <rPh sb="9" eb="10">
      <t>ネン</t>
    </rPh>
    <rPh sb="13" eb="15">
      <t>ゼンコク</t>
    </rPh>
    <rPh sb="15" eb="18">
      <t>ジチタイ</t>
    </rPh>
    <rPh sb="18" eb="20">
      <t>ショクイン</t>
    </rPh>
    <rPh sb="24" eb="26">
      <t>タイカイ</t>
    </rPh>
    <rPh sb="26" eb="28">
      <t>チュウシ</t>
    </rPh>
    <phoneticPr fontId="3"/>
  </si>
  <si>
    <t>全国自治体職員サッカー選手権南関東予選</t>
    <rPh sb="0" eb="2">
      <t>ゼンコク</t>
    </rPh>
    <rPh sb="2" eb="5">
      <t>ジチタイ</t>
    </rPh>
    <rPh sb="5" eb="7">
      <t>ショクイン</t>
    </rPh>
    <rPh sb="11" eb="14">
      <t>センシュケン</t>
    </rPh>
    <rPh sb="14" eb="17">
      <t>ミナミカントウ</t>
    </rPh>
    <rPh sb="17" eb="19">
      <t>ヨセン</t>
    </rPh>
    <phoneticPr fontId="62"/>
  </si>
  <si>
    <t>***　関東自治体職員サッカー選手権大会</t>
    <rPh sb="4" eb="6">
      <t>カントウ</t>
    </rPh>
    <rPh sb="6" eb="9">
      <t>ジチタイ</t>
    </rPh>
    <rPh sb="9" eb="11">
      <t>ショクイン</t>
    </rPh>
    <rPh sb="15" eb="18">
      <t>センシュケン</t>
    </rPh>
    <rPh sb="18" eb="20">
      <t>タイカイ</t>
    </rPh>
    <phoneticPr fontId="62"/>
  </si>
  <si>
    <t>自治体職員サッカー連盟助成金</t>
    <rPh sb="0" eb="3">
      <t>ジチタイ</t>
    </rPh>
    <rPh sb="3" eb="5">
      <t>ショクイン</t>
    </rPh>
    <rPh sb="9" eb="11">
      <t>レンメイ</t>
    </rPh>
    <rPh sb="11" eb="14">
      <t>ジョセイキン</t>
    </rPh>
    <phoneticPr fontId="62"/>
  </si>
  <si>
    <t>埼玉県大学サッカー連盟</t>
    <rPh sb="0" eb="3">
      <t>サイタマケン</t>
    </rPh>
    <rPh sb="3" eb="5">
      <t>ダイガク</t>
    </rPh>
    <rPh sb="9" eb="11">
      <t>レンメイ</t>
    </rPh>
    <phoneticPr fontId="29"/>
  </si>
  <si>
    <t>彩の国カップ埼玉県サッカー選手権大会大学代表決定戦</t>
    <rPh sb="0" eb="1">
      <t>サイ</t>
    </rPh>
    <rPh sb="2" eb="3">
      <t>クニ</t>
    </rPh>
    <rPh sb="6" eb="9">
      <t>サイタマケン</t>
    </rPh>
    <rPh sb="13" eb="16">
      <t>センシュケン</t>
    </rPh>
    <rPh sb="16" eb="18">
      <t>タイカイ</t>
    </rPh>
    <rPh sb="18" eb="20">
      <t>ダイガク</t>
    </rPh>
    <rPh sb="20" eb="22">
      <t>ダイヒョウ</t>
    </rPh>
    <rPh sb="22" eb="25">
      <t>ケッテイセン</t>
    </rPh>
    <phoneticPr fontId="62"/>
  </si>
  <si>
    <t>埼玉県大学サッカー選手権兼総理大臣杯全日本大学サッカートーナメント関東代表決定戦埼玉県予選</t>
    <rPh sb="0" eb="3">
      <t>サイタマケン</t>
    </rPh>
    <rPh sb="3" eb="5">
      <t>ダイガク</t>
    </rPh>
    <rPh sb="9" eb="11">
      <t>センシュ</t>
    </rPh>
    <rPh sb="11" eb="12">
      <t>ケン</t>
    </rPh>
    <rPh sb="12" eb="13">
      <t>ケン</t>
    </rPh>
    <rPh sb="13" eb="15">
      <t>ソウリ</t>
    </rPh>
    <rPh sb="15" eb="17">
      <t>ダイジン</t>
    </rPh>
    <rPh sb="17" eb="18">
      <t>ハイ</t>
    </rPh>
    <rPh sb="18" eb="21">
      <t>ゼンニホン</t>
    </rPh>
    <rPh sb="21" eb="23">
      <t>ダイガク</t>
    </rPh>
    <rPh sb="33" eb="35">
      <t>カントウ</t>
    </rPh>
    <rPh sb="35" eb="37">
      <t>ダイヒョウ</t>
    </rPh>
    <rPh sb="37" eb="40">
      <t>ケッテイセン</t>
    </rPh>
    <rPh sb="40" eb="43">
      <t>サイタマケン</t>
    </rPh>
    <rPh sb="43" eb="45">
      <t>ヨセン</t>
    </rPh>
    <phoneticPr fontId="62"/>
  </si>
  <si>
    <t>***　関東大学サッカー大会</t>
    <rPh sb="4" eb="6">
      <t>カントウ</t>
    </rPh>
    <rPh sb="6" eb="8">
      <t>ダイガク</t>
    </rPh>
    <rPh sb="12" eb="14">
      <t>タイカイ</t>
    </rPh>
    <phoneticPr fontId="62"/>
  </si>
  <si>
    <t>*　埼玉県大学サッカーリーグ戦</t>
    <rPh sb="2" eb="5">
      <t>サイタマケン</t>
    </rPh>
    <rPh sb="5" eb="7">
      <t>ダイガク</t>
    </rPh>
    <rPh sb="14" eb="15">
      <t>セン</t>
    </rPh>
    <phoneticPr fontId="62"/>
  </si>
  <si>
    <t>Zeal Career　関東大学サッカー連盟新人交流戦</t>
    <rPh sb="12" eb="14">
      <t>カントウ</t>
    </rPh>
    <rPh sb="14" eb="16">
      <t>ダイガク</t>
    </rPh>
    <rPh sb="20" eb="22">
      <t>レンメイ</t>
    </rPh>
    <rPh sb="22" eb="24">
      <t>シンジン</t>
    </rPh>
    <rPh sb="24" eb="27">
      <t>コウリュウセン</t>
    </rPh>
    <phoneticPr fontId="62"/>
  </si>
  <si>
    <t>都県選抜交流戦</t>
    <rPh sb="0" eb="2">
      <t>トケン</t>
    </rPh>
    <rPh sb="2" eb="4">
      <t>センバツ</t>
    </rPh>
    <rPh sb="4" eb="7">
      <t>コウリュウセン</t>
    </rPh>
    <phoneticPr fontId="62"/>
  </si>
  <si>
    <t>「アミノバイタルカップ」関東大学サッカートーナメント大会プレーオフ</t>
    <rPh sb="12" eb="14">
      <t>カントウ</t>
    </rPh>
    <rPh sb="14" eb="16">
      <t>ダイガク</t>
    </rPh>
    <rPh sb="26" eb="28">
      <t>タイカイ</t>
    </rPh>
    <phoneticPr fontId="62"/>
  </si>
  <si>
    <t>大学サッカー連盟助成金</t>
    <rPh sb="0" eb="2">
      <t>ダイガク</t>
    </rPh>
    <rPh sb="6" eb="8">
      <t>レンメイ</t>
    </rPh>
    <rPh sb="8" eb="11">
      <t>ジョセイキン</t>
    </rPh>
    <phoneticPr fontId="62"/>
  </si>
  <si>
    <t>*　高円宮杯 JFA U-18サッカーリーグ</t>
    <rPh sb="2" eb="6">
      <t>タカマドノミヤハイ</t>
    </rPh>
    <phoneticPr fontId="62"/>
  </si>
  <si>
    <t>U-16埼玉県サッカーリーグ</t>
    <rPh sb="4" eb="7">
      <t>サイタマケン</t>
    </rPh>
    <phoneticPr fontId="62"/>
  </si>
  <si>
    <t>第2種委員会運営費</t>
    <rPh sb="6" eb="9">
      <t>ウンエイヒ</t>
    </rPh>
    <phoneticPr fontId="62"/>
  </si>
  <si>
    <t>埼玉県高等学校体育連盟</t>
    <rPh sb="0" eb="3">
      <t>サイタマケン</t>
    </rPh>
    <rPh sb="3" eb="5">
      <t>コウトウ</t>
    </rPh>
    <rPh sb="5" eb="7">
      <t>ガッコウ</t>
    </rPh>
    <rPh sb="7" eb="9">
      <t>タイイク</t>
    </rPh>
    <rPh sb="9" eb="11">
      <t>レンメイ</t>
    </rPh>
    <phoneticPr fontId="29"/>
  </si>
  <si>
    <r>
      <t>**　全国高等学校サッカー選手権大会埼玉県大会/</t>
    </r>
    <r>
      <rPr>
        <u/>
        <sz val="10"/>
        <rFont val="ＭＳ Ｐゴシック"/>
        <family val="3"/>
        <charset val="128"/>
      </rPr>
      <t>収入に伴う支出</t>
    </r>
    <rPh sb="3" eb="5">
      <t>ゼンコク</t>
    </rPh>
    <rPh sb="5" eb="7">
      <t>コウトウ</t>
    </rPh>
    <rPh sb="7" eb="9">
      <t>ガッコウ</t>
    </rPh>
    <rPh sb="13" eb="16">
      <t>センシュケン</t>
    </rPh>
    <rPh sb="16" eb="18">
      <t>タイカイ</t>
    </rPh>
    <rPh sb="18" eb="21">
      <t>サイタマケン</t>
    </rPh>
    <rPh sb="21" eb="23">
      <t>タイカイ</t>
    </rPh>
    <phoneticPr fontId="62"/>
  </si>
  <si>
    <t>**　JFA/47FA一括補助金　※必須（一部）</t>
    <phoneticPr fontId="3"/>
  </si>
  <si>
    <t>・受託　全国高等学校サッカー選手権大会</t>
    <rPh sb="4" eb="6">
      <t>ゼンコク</t>
    </rPh>
    <rPh sb="6" eb="8">
      <t>コウトウ</t>
    </rPh>
    <rPh sb="8" eb="10">
      <t>ガッコウ</t>
    </rPh>
    <rPh sb="14" eb="17">
      <t>センシュケン</t>
    </rPh>
    <rPh sb="17" eb="19">
      <t>タイカイ</t>
    </rPh>
    <phoneticPr fontId="62"/>
  </si>
  <si>
    <t>関東高校サッカー大会（関東高校総合体育大会）</t>
    <rPh sb="0" eb="2">
      <t>カントウ</t>
    </rPh>
    <rPh sb="2" eb="4">
      <t>コウコウ</t>
    </rPh>
    <rPh sb="8" eb="10">
      <t>タイカイ</t>
    </rPh>
    <phoneticPr fontId="62"/>
  </si>
  <si>
    <t>全国高等学校総合体育大会</t>
    <rPh sb="0" eb="2">
      <t>ゼンコク</t>
    </rPh>
    <rPh sb="2" eb="4">
      <t>コウトウ</t>
    </rPh>
    <rPh sb="4" eb="6">
      <t>ガッコウ</t>
    </rPh>
    <rPh sb="6" eb="8">
      <t>ソウゴウ</t>
    </rPh>
    <rPh sb="8" eb="10">
      <t>タイイク</t>
    </rPh>
    <rPh sb="10" eb="12">
      <t>タイカイ</t>
    </rPh>
    <phoneticPr fontId="62"/>
  </si>
  <si>
    <t>*　高体連サッカー専門部助成金</t>
    <rPh sb="2" eb="5">
      <t>コウタイレン</t>
    </rPh>
    <rPh sb="9" eb="11">
      <t>センモン</t>
    </rPh>
    <rPh sb="11" eb="12">
      <t>ブ</t>
    </rPh>
    <rPh sb="12" eb="15">
      <t>ジョセイキン</t>
    </rPh>
    <phoneticPr fontId="62"/>
  </si>
  <si>
    <t>*　JFA/47FA一括補助金（一部）</t>
    <rPh sb="10" eb="12">
      <t>イッカツ</t>
    </rPh>
    <rPh sb="12" eb="15">
      <t>ホジョキン</t>
    </rPh>
    <phoneticPr fontId="3"/>
  </si>
  <si>
    <t>彩の国カップ2種クラブ予選兼埼玉県2種選手権クラブ予選</t>
    <rPh sb="0" eb="1">
      <t>サイ</t>
    </rPh>
    <rPh sb="2" eb="3">
      <t>クニ</t>
    </rPh>
    <rPh sb="7" eb="8">
      <t>シュ</t>
    </rPh>
    <rPh sb="11" eb="13">
      <t>ヨセン</t>
    </rPh>
    <rPh sb="13" eb="14">
      <t>ケン</t>
    </rPh>
    <rPh sb="14" eb="17">
      <t>サイタマケン</t>
    </rPh>
    <rPh sb="18" eb="19">
      <t>シュ</t>
    </rPh>
    <rPh sb="19" eb="22">
      <t>センシュケン</t>
    </rPh>
    <rPh sb="25" eb="27">
      <t>ヨセン</t>
    </rPh>
    <phoneticPr fontId="62"/>
  </si>
  <si>
    <t>日本クラブユース（U-18）関東大会</t>
    <rPh sb="0" eb="2">
      <t>ニホン</t>
    </rPh>
    <rPh sb="14" eb="16">
      <t>カントウ</t>
    </rPh>
    <rPh sb="16" eb="18">
      <t>タイカイ</t>
    </rPh>
    <phoneticPr fontId="62"/>
  </si>
  <si>
    <t>U-18クラブユース連盟助成金</t>
    <rPh sb="10" eb="12">
      <t>レンメイ</t>
    </rPh>
    <phoneticPr fontId="62"/>
  </si>
  <si>
    <t>埼玉県ユース（U-13）サッカー選手権大会</t>
    <phoneticPr fontId="62"/>
  </si>
  <si>
    <t>*　高円宮杯 JFA U-15サッカーリーグ・高円宮杯 JFA 全日本U-15サッカー選手権大会埼玉県大会</t>
    <rPh sb="2" eb="5">
      <t>タカマドノミヤ</t>
    </rPh>
    <rPh sb="5" eb="6">
      <t>ハイ</t>
    </rPh>
    <rPh sb="32" eb="35">
      <t>ゼンニホン</t>
    </rPh>
    <rPh sb="43" eb="46">
      <t>センシュケン</t>
    </rPh>
    <rPh sb="46" eb="48">
      <t>タイカイ</t>
    </rPh>
    <rPh sb="48" eb="51">
      <t>サイタマケン</t>
    </rPh>
    <rPh sb="51" eb="53">
      <t>タイカイ</t>
    </rPh>
    <phoneticPr fontId="62"/>
  </si>
  <si>
    <t>*　埼玉県ユース（Ｕ-13）サッカーリーグ</t>
    <phoneticPr fontId="62"/>
  </si>
  <si>
    <r>
      <rPr>
        <b/>
        <sz val="10"/>
        <color theme="0" tint="-0.249977111117893"/>
        <rFont val="ＭＳ Ｐゴシック"/>
        <family val="3"/>
        <charset val="128"/>
      </rPr>
      <t>JFA全日本U-15サッカー大会関東大会</t>
    </r>
    <r>
      <rPr>
        <sz val="10"/>
        <color theme="0" tint="-0.249977111117893"/>
        <rFont val="ＭＳ Ｐゴシック"/>
        <family val="3"/>
        <charset val="128"/>
      </rPr>
      <t>…JFAプレミアカップ関東大会</t>
    </r>
    <rPh sb="3" eb="6">
      <t>ゼンニホン</t>
    </rPh>
    <rPh sb="14" eb="16">
      <t>タイカイ</t>
    </rPh>
    <rPh sb="31" eb="33">
      <t>カントウ</t>
    </rPh>
    <rPh sb="33" eb="35">
      <t>タイカイ</t>
    </rPh>
    <phoneticPr fontId="62"/>
  </si>
  <si>
    <t>第3種委員会運営費</t>
    <rPh sb="6" eb="9">
      <t>ウンエイヒ</t>
    </rPh>
    <phoneticPr fontId="62"/>
  </si>
  <si>
    <t>埼玉県中学校体育連盟</t>
    <rPh sb="0" eb="3">
      <t>サイタマケン</t>
    </rPh>
    <rPh sb="3" eb="6">
      <t>チュウガッコウ</t>
    </rPh>
    <rPh sb="6" eb="8">
      <t>タイイク</t>
    </rPh>
    <rPh sb="8" eb="10">
      <t>レンメイ</t>
    </rPh>
    <phoneticPr fontId="29"/>
  </si>
  <si>
    <t>*　埼玉県ユース（U-13）サッカー選手権大会中学校1次予選</t>
    <phoneticPr fontId="62"/>
  </si>
  <si>
    <t>埼玉県ユース（U-13）サッカー選手権大会中学校2次予選</t>
    <phoneticPr fontId="62"/>
  </si>
  <si>
    <t>関東中学校サッカー大会</t>
    <rPh sb="0" eb="2">
      <t>カントウ</t>
    </rPh>
    <rPh sb="2" eb="5">
      <t>チュウガッコウ</t>
    </rPh>
    <rPh sb="9" eb="11">
      <t>タイカイ</t>
    </rPh>
    <phoneticPr fontId="62"/>
  </si>
  <si>
    <t>*　中体連サッカー専門部助成金</t>
    <rPh sb="2" eb="5">
      <t>チュウタイレン</t>
    </rPh>
    <rPh sb="9" eb="11">
      <t>センモン</t>
    </rPh>
    <rPh sb="11" eb="12">
      <t>ブ</t>
    </rPh>
    <phoneticPr fontId="62"/>
  </si>
  <si>
    <t>埼玉県クラブユースサッカー連盟U-15</t>
    <rPh sb="0" eb="3">
      <t>サイタマケン</t>
    </rPh>
    <rPh sb="13" eb="15">
      <t>レンメイ</t>
    </rPh>
    <phoneticPr fontId="57"/>
  </si>
  <si>
    <t>埼玉県ユース（U-13）サッカー選手権大会クラブﾞ予選</t>
    <phoneticPr fontId="62"/>
  </si>
  <si>
    <t>日本クラブユースサッカー選手権大会（U-15）埼玉県予選</t>
    <rPh sb="0" eb="2">
      <t>ニホン</t>
    </rPh>
    <rPh sb="12" eb="15">
      <t>センシュケン</t>
    </rPh>
    <rPh sb="15" eb="17">
      <t>タイカイ</t>
    </rPh>
    <rPh sb="23" eb="26">
      <t>サイタマケン</t>
    </rPh>
    <rPh sb="26" eb="28">
      <t>ヨセン</t>
    </rPh>
    <phoneticPr fontId="62"/>
  </si>
  <si>
    <t>全日本ユース（U-15）関東大会</t>
    <rPh sb="0" eb="3">
      <t>ゼンニホン</t>
    </rPh>
    <rPh sb="12" eb="14">
      <t>カントウ</t>
    </rPh>
    <rPh sb="14" eb="16">
      <t>タイカイ</t>
    </rPh>
    <phoneticPr fontId="62"/>
  </si>
  <si>
    <t>埼玉県クラブユース（U-15)選手権大会</t>
    <rPh sb="0" eb="3">
      <t>サイタマケン</t>
    </rPh>
    <rPh sb="15" eb="18">
      <t>センシュケン</t>
    </rPh>
    <rPh sb="18" eb="20">
      <t>タイカイ</t>
    </rPh>
    <phoneticPr fontId="62"/>
  </si>
  <si>
    <t>埼玉県クラブユース（U-14)選手権大会</t>
    <rPh sb="0" eb="3">
      <t>サイタマケン</t>
    </rPh>
    <rPh sb="15" eb="18">
      <t>センシュケン</t>
    </rPh>
    <rPh sb="18" eb="20">
      <t>タイカイ</t>
    </rPh>
    <phoneticPr fontId="62"/>
  </si>
  <si>
    <t>U-15クラブユースサッカー連盟助成金</t>
    <rPh sb="14" eb="16">
      <t>レンメイ</t>
    </rPh>
    <phoneticPr fontId="62"/>
  </si>
  <si>
    <t>*　JFAキッズサッカーフェスティバル　1</t>
    <phoneticPr fontId="3"/>
  </si>
  <si>
    <t>*　JFAキッズサッカーフェスティバル　2</t>
    <phoneticPr fontId="3"/>
  </si>
  <si>
    <t>*　JFAキッズサッカーフェスティバル　3</t>
    <phoneticPr fontId="3"/>
  </si>
  <si>
    <t>*　JFAキッズサッカーフェスティバル　4</t>
    <phoneticPr fontId="3"/>
  </si>
  <si>
    <t>*　JFA 全日本 U-12サッカー選手権大会埼玉県大会</t>
    <rPh sb="6" eb="9">
      <t>ゼンニホン</t>
    </rPh>
    <rPh sb="18" eb="21">
      <t>センシュケン</t>
    </rPh>
    <rPh sb="21" eb="23">
      <t>タイカイ</t>
    </rPh>
    <rPh sb="23" eb="26">
      <t>サイタマケン</t>
    </rPh>
    <rPh sb="26" eb="28">
      <t>タイカイ</t>
    </rPh>
    <phoneticPr fontId="62"/>
  </si>
  <si>
    <t>*　埼玉県第4種サッカーリーグ戦（選手権を除く）</t>
    <rPh sb="2" eb="5">
      <t>サイタマケン</t>
    </rPh>
    <rPh sb="5" eb="6">
      <t>ダイ</t>
    </rPh>
    <rPh sb="7" eb="8">
      <t>シュ</t>
    </rPh>
    <rPh sb="15" eb="16">
      <t>セン</t>
    </rPh>
    <rPh sb="17" eb="20">
      <t>センシュケン</t>
    </rPh>
    <rPh sb="21" eb="22">
      <t>ノゾ</t>
    </rPh>
    <phoneticPr fontId="62"/>
  </si>
  <si>
    <t>*　埼玉県第4種サッカーリーグ選手権</t>
    <rPh sb="2" eb="5">
      <t>サイタマケン</t>
    </rPh>
    <rPh sb="5" eb="6">
      <t>ダイ</t>
    </rPh>
    <rPh sb="7" eb="8">
      <t>シュ</t>
    </rPh>
    <rPh sb="15" eb="18">
      <t>センシュケン</t>
    </rPh>
    <phoneticPr fontId="62"/>
  </si>
  <si>
    <t>*　埼玉県第4種新人戦</t>
    <rPh sb="2" eb="5">
      <t>サイタマケン</t>
    </rPh>
    <rPh sb="5" eb="6">
      <t>ダイ</t>
    </rPh>
    <rPh sb="7" eb="8">
      <t>シュ</t>
    </rPh>
    <rPh sb="8" eb="11">
      <t>シンジンセン</t>
    </rPh>
    <phoneticPr fontId="62"/>
  </si>
  <si>
    <t>*　関東少年サッカー大会埼玉県大会</t>
    <rPh sb="2" eb="4">
      <t>カントウ</t>
    </rPh>
    <rPh sb="4" eb="6">
      <t>ショウネン</t>
    </rPh>
    <rPh sb="10" eb="12">
      <t>タイカイ</t>
    </rPh>
    <rPh sb="12" eb="14">
      <t>サイタマ</t>
    </rPh>
    <rPh sb="14" eb="15">
      <t>ケン</t>
    </rPh>
    <rPh sb="15" eb="17">
      <t>タイカイ</t>
    </rPh>
    <phoneticPr fontId="62"/>
  </si>
  <si>
    <t>*　U-11サッカーリーグ</t>
    <phoneticPr fontId="62"/>
  </si>
  <si>
    <t>*　JFA/47FA一括補助金</t>
  </si>
  <si>
    <t>*　U-10サッカーリーグ</t>
    <phoneticPr fontId="62"/>
  </si>
  <si>
    <t>関東少年選抜大会</t>
    <rPh sb="0" eb="2">
      <t>カントウ</t>
    </rPh>
    <rPh sb="2" eb="4">
      <t>ショウネン</t>
    </rPh>
    <rPh sb="4" eb="6">
      <t>センバツ</t>
    </rPh>
    <rPh sb="6" eb="8">
      <t>タイカイ</t>
    </rPh>
    <phoneticPr fontId="62"/>
  </si>
  <si>
    <t>*　埼玉県少女フェスティバル大会</t>
    <rPh sb="2" eb="5">
      <t>サイタマケン</t>
    </rPh>
    <rPh sb="5" eb="7">
      <t>ショウジョ</t>
    </rPh>
    <rPh sb="14" eb="16">
      <t>タイカイ</t>
    </rPh>
    <phoneticPr fontId="62"/>
  </si>
  <si>
    <t>49</t>
    <phoneticPr fontId="3"/>
  </si>
  <si>
    <t>JA全農杯全国小学生選抜サッカー大会in関東</t>
    <rPh sb="2" eb="5">
      <t>ゼンノウハイ</t>
    </rPh>
    <rPh sb="5" eb="10">
      <t>ゼンコクショウガクセイ</t>
    </rPh>
    <rPh sb="10" eb="12">
      <t>センバツ</t>
    </rPh>
    <rPh sb="16" eb="18">
      <t>タイカイ</t>
    </rPh>
    <rPh sb="20" eb="22">
      <t>カントウ</t>
    </rPh>
    <phoneticPr fontId="3"/>
  </si>
  <si>
    <t>埼玉県少年サッカー連盟</t>
    <rPh sb="0" eb="3">
      <t>サイタマケン</t>
    </rPh>
    <rPh sb="3" eb="5">
      <t>ショウネン</t>
    </rPh>
    <rPh sb="9" eb="11">
      <t>レンメイ</t>
    </rPh>
    <phoneticPr fontId="57"/>
  </si>
  <si>
    <t>埼玉県スポーツ少年団大会</t>
    <rPh sb="0" eb="3">
      <t>サイタマケン</t>
    </rPh>
    <rPh sb="7" eb="10">
      <t>ショウネンダン</t>
    </rPh>
    <rPh sb="10" eb="12">
      <t>タイカイ</t>
    </rPh>
    <phoneticPr fontId="62"/>
  </si>
  <si>
    <t>少年サッカー連盟助成金</t>
    <rPh sb="0" eb="2">
      <t>ショウネン</t>
    </rPh>
    <rPh sb="6" eb="8">
      <t>レンメイ</t>
    </rPh>
    <phoneticPr fontId="62"/>
  </si>
  <si>
    <t>(一社)埼玉県U-12クラブユースサッカー連盟</t>
    <rPh sb="1" eb="2">
      <t>イチ</t>
    </rPh>
    <rPh sb="2" eb="3">
      <t>シャ</t>
    </rPh>
    <rPh sb="4" eb="7">
      <t>サイタマケン</t>
    </rPh>
    <rPh sb="21" eb="23">
      <t>レンメイ</t>
    </rPh>
    <phoneticPr fontId="57"/>
  </si>
  <si>
    <t>埼玉県クラブユースサッカー選手権U-11大会</t>
    <rPh sb="0" eb="3">
      <t>サイタマケン</t>
    </rPh>
    <rPh sb="13" eb="15">
      <t>センシュ</t>
    </rPh>
    <rPh sb="15" eb="16">
      <t>ケン</t>
    </rPh>
    <rPh sb="20" eb="22">
      <t>タイカイ</t>
    </rPh>
    <phoneticPr fontId="62"/>
  </si>
  <si>
    <t>埼玉県クラブユースサッカー選手権U-10大会</t>
    <rPh sb="0" eb="3">
      <t>サイタマケン</t>
    </rPh>
    <rPh sb="13" eb="15">
      <t>センシュ</t>
    </rPh>
    <rPh sb="15" eb="16">
      <t>ケン</t>
    </rPh>
    <rPh sb="20" eb="22">
      <t>タイカイ</t>
    </rPh>
    <phoneticPr fontId="62"/>
  </si>
  <si>
    <t>U-12クラブユースサッカー連盟助成金</t>
    <rPh sb="14" eb="16">
      <t>レンメイ</t>
    </rPh>
    <phoneticPr fontId="62"/>
  </si>
  <si>
    <t>*　JFAレディース/ガールズサッカーフェスティバル　1</t>
    <phoneticPr fontId="3"/>
  </si>
  <si>
    <t>*　JFAレディース/ガールズサッカーフェスティバル　2</t>
    <phoneticPr fontId="3"/>
  </si>
  <si>
    <t>埼玉県女子サッカー連盟</t>
    <rPh sb="0" eb="3">
      <t>サイタマケン</t>
    </rPh>
    <rPh sb="3" eb="5">
      <t>ジョシ</t>
    </rPh>
    <rPh sb="9" eb="11">
      <t>レンメイ</t>
    </rPh>
    <phoneticPr fontId="0"/>
  </si>
  <si>
    <t>*　皇后杯 JFA 全日本女子サッカー選手権大会埼玉県予選兼埼玉県女子サッカー大会</t>
    <rPh sb="2" eb="5">
      <t>コウゴウハイ</t>
    </rPh>
    <rPh sb="10" eb="13">
      <t>ゼンニホン</t>
    </rPh>
    <rPh sb="13" eb="15">
      <t>ジョシ</t>
    </rPh>
    <rPh sb="19" eb="22">
      <t>センシュケン</t>
    </rPh>
    <rPh sb="22" eb="24">
      <t>タイカイ</t>
    </rPh>
    <rPh sb="24" eb="27">
      <t>サイタマケン</t>
    </rPh>
    <rPh sb="27" eb="29">
      <t>ヨセン</t>
    </rPh>
    <rPh sb="29" eb="30">
      <t>ケン</t>
    </rPh>
    <rPh sb="30" eb="33">
      <t>サイタマケン</t>
    </rPh>
    <rPh sb="33" eb="35">
      <t>ジョシ</t>
    </rPh>
    <rPh sb="39" eb="41">
      <t>タイカイ</t>
    </rPh>
    <phoneticPr fontId="62"/>
  </si>
  <si>
    <t>*　埼玉県サッカー協会会長杯兼埼玉県女子サッカー選手権大会</t>
    <rPh sb="2" eb="5">
      <t>サイタマケン</t>
    </rPh>
    <rPh sb="9" eb="11">
      <t>キョウカイ</t>
    </rPh>
    <rPh sb="11" eb="13">
      <t>カイチョウ</t>
    </rPh>
    <rPh sb="13" eb="14">
      <t>ハイ</t>
    </rPh>
    <rPh sb="14" eb="15">
      <t>ケン</t>
    </rPh>
    <rPh sb="15" eb="18">
      <t>サイタマケン</t>
    </rPh>
    <rPh sb="18" eb="20">
      <t>ジョシ</t>
    </rPh>
    <rPh sb="24" eb="26">
      <t>センシュ</t>
    </rPh>
    <rPh sb="26" eb="27">
      <t>ケン</t>
    </rPh>
    <rPh sb="27" eb="29">
      <t>タイカイ</t>
    </rPh>
    <phoneticPr fontId="62"/>
  </si>
  <si>
    <t>*　埼玉県女子サッカーリーグ大会1部・2部・3部</t>
    <rPh sb="2" eb="5">
      <t>サイタマケン</t>
    </rPh>
    <rPh sb="5" eb="7">
      <t>ジョシ</t>
    </rPh>
    <rPh sb="14" eb="16">
      <t>タイカイ</t>
    </rPh>
    <rPh sb="17" eb="18">
      <t>ブ</t>
    </rPh>
    <rPh sb="20" eb="21">
      <t>ブ</t>
    </rPh>
    <rPh sb="23" eb="24">
      <t>ブ</t>
    </rPh>
    <phoneticPr fontId="62"/>
  </si>
  <si>
    <t>*　JFA 全日本O-30女子サッカー大会埼玉県予選</t>
    <rPh sb="6" eb="9">
      <t>ゼンニホン</t>
    </rPh>
    <rPh sb="13" eb="15">
      <t>ジョシ</t>
    </rPh>
    <rPh sb="21" eb="23">
      <t>サイタマ</t>
    </rPh>
    <phoneticPr fontId="62"/>
  </si>
  <si>
    <t>*　埼玉県女子ユ－ス（Ｕ-18）サッカ－選手権大会兼関東女子ユース(U-18)サッカー選手権大会埼玉県予選</t>
    <phoneticPr fontId="62"/>
  </si>
  <si>
    <t>*　埼玉県女子ユ－ス（Ｕ-15）サッカ－選手権大会兼関東女子ユース(U-15)サッカー選手権大会埼玉県予選</t>
    <rPh sb="2" eb="5">
      <t>サイタマケン</t>
    </rPh>
    <rPh sb="5" eb="7">
      <t>ジョシ</t>
    </rPh>
    <rPh sb="20" eb="23">
      <t>センシュケン</t>
    </rPh>
    <rPh sb="23" eb="25">
      <t>タイカイ</t>
    </rPh>
    <rPh sb="25" eb="26">
      <t>ケン</t>
    </rPh>
    <rPh sb="26" eb="28">
      <t>カントウ</t>
    </rPh>
    <rPh sb="48" eb="50">
      <t>サイタマ</t>
    </rPh>
    <phoneticPr fontId="62"/>
  </si>
  <si>
    <t>*　埼玉県女子U-15サッカーリーグ</t>
    <rPh sb="2" eb="5">
      <t>サイタマケン</t>
    </rPh>
    <rPh sb="5" eb="7">
      <t>ジョシ</t>
    </rPh>
    <phoneticPr fontId="62"/>
  </si>
  <si>
    <t>埼玉県女子ユース(U-14）サッカー新人戦大会</t>
    <rPh sb="0" eb="3">
      <t>サイタマケン</t>
    </rPh>
    <rPh sb="3" eb="5">
      <t>ジョシ</t>
    </rPh>
    <rPh sb="18" eb="21">
      <t>シンジンセン</t>
    </rPh>
    <rPh sb="21" eb="23">
      <t>タイカイ</t>
    </rPh>
    <phoneticPr fontId="62"/>
  </si>
  <si>
    <t>県民総合スポーツ大会（女子の部）</t>
    <rPh sb="11" eb="13">
      <t>ジョシ</t>
    </rPh>
    <rPh sb="14" eb="15">
      <t>ブ</t>
    </rPh>
    <phoneticPr fontId="62"/>
  </si>
  <si>
    <t>***　JFA 全日本U-18女子サッカー選手権大会関東予選</t>
    <rPh sb="8" eb="11">
      <t>ゼンニホン</t>
    </rPh>
    <rPh sb="15" eb="17">
      <t>ジョシ</t>
    </rPh>
    <rPh sb="21" eb="24">
      <t>センシュケン</t>
    </rPh>
    <rPh sb="24" eb="26">
      <t>タイカイ</t>
    </rPh>
    <rPh sb="26" eb="28">
      <t>カントウ</t>
    </rPh>
    <rPh sb="28" eb="30">
      <t>ヨセン</t>
    </rPh>
    <phoneticPr fontId="62"/>
  </si>
  <si>
    <t>***　関東女子ユース（U-15）サッカー選手権大会</t>
    <rPh sb="4" eb="6">
      <t>カントウ</t>
    </rPh>
    <rPh sb="6" eb="8">
      <t>ジョシ</t>
    </rPh>
    <rPh sb="21" eb="24">
      <t>センシュケン</t>
    </rPh>
    <rPh sb="24" eb="26">
      <t>タイカイ</t>
    </rPh>
    <phoneticPr fontId="62"/>
  </si>
  <si>
    <t>***　関東レディースサッカー大会兼全国レディースサッカー大会関東予選</t>
    <rPh sb="4" eb="6">
      <t>カントウ</t>
    </rPh>
    <rPh sb="15" eb="17">
      <t>タイカイ</t>
    </rPh>
    <rPh sb="17" eb="18">
      <t>ケン</t>
    </rPh>
    <rPh sb="18" eb="20">
      <t>ゼンコク</t>
    </rPh>
    <rPh sb="29" eb="31">
      <t>タイカイ</t>
    </rPh>
    <rPh sb="31" eb="33">
      <t>カントウ</t>
    </rPh>
    <rPh sb="33" eb="35">
      <t>ヨセン</t>
    </rPh>
    <phoneticPr fontId="62"/>
  </si>
  <si>
    <t>関東レディースエイト（O-45）サッカー大会</t>
    <rPh sb="0" eb="2">
      <t>カントウ</t>
    </rPh>
    <rPh sb="20" eb="22">
      <t>タイカイ</t>
    </rPh>
    <phoneticPr fontId="62"/>
  </si>
  <si>
    <t>女子サッカー連盟助成金</t>
    <rPh sb="0" eb="2">
      <t>ジョシ</t>
    </rPh>
    <rPh sb="6" eb="8">
      <t>レンメイ</t>
    </rPh>
    <phoneticPr fontId="62"/>
  </si>
  <si>
    <t>埼玉県高等学校体育連盟女子</t>
    <rPh sb="0" eb="3">
      <t>サイタマケン</t>
    </rPh>
    <rPh sb="3" eb="5">
      <t>コウトウ</t>
    </rPh>
    <rPh sb="5" eb="7">
      <t>ガッコウ</t>
    </rPh>
    <rPh sb="7" eb="9">
      <t>タイイク</t>
    </rPh>
    <rPh sb="9" eb="11">
      <t>レンメイ</t>
    </rPh>
    <rPh sb="11" eb="13">
      <t>ジョシ</t>
    </rPh>
    <phoneticPr fontId="0"/>
  </si>
  <si>
    <t>*　埼玉県高等学校女子サッカー選手権大会兼関東高等学校女子サッカー選手権大会予選</t>
    <rPh sb="2" eb="5">
      <t>サイタマケン</t>
    </rPh>
    <rPh sb="5" eb="7">
      <t>コウトウ</t>
    </rPh>
    <rPh sb="7" eb="9">
      <t>ガッコウ</t>
    </rPh>
    <rPh sb="9" eb="11">
      <t>ジョシ</t>
    </rPh>
    <rPh sb="15" eb="18">
      <t>センシュケン</t>
    </rPh>
    <rPh sb="18" eb="20">
      <t>タイカイ</t>
    </rPh>
    <rPh sb="20" eb="21">
      <t>ケン</t>
    </rPh>
    <rPh sb="21" eb="23">
      <t>カントウ</t>
    </rPh>
    <rPh sb="23" eb="25">
      <t>コウトウ</t>
    </rPh>
    <rPh sb="25" eb="27">
      <t>ガッコウ</t>
    </rPh>
    <rPh sb="27" eb="29">
      <t>ジョシ</t>
    </rPh>
    <rPh sb="33" eb="36">
      <t>センシュケン</t>
    </rPh>
    <rPh sb="36" eb="38">
      <t>タイカイ</t>
    </rPh>
    <rPh sb="38" eb="40">
      <t>ヨセン</t>
    </rPh>
    <phoneticPr fontId="62"/>
  </si>
  <si>
    <t>関東高校女子サッカー大会（関東高校総合体育大会女子）</t>
    <rPh sb="0" eb="2">
      <t>カントウ</t>
    </rPh>
    <rPh sb="2" eb="4">
      <t>コウコウ</t>
    </rPh>
    <rPh sb="4" eb="6">
      <t>ジョシ</t>
    </rPh>
    <rPh sb="10" eb="12">
      <t>タイカイ</t>
    </rPh>
    <rPh sb="13" eb="15">
      <t>カントウ</t>
    </rPh>
    <rPh sb="15" eb="17">
      <t>コウコウ</t>
    </rPh>
    <rPh sb="17" eb="19">
      <t>ソウゴウ</t>
    </rPh>
    <rPh sb="23" eb="25">
      <t>ジョシ</t>
    </rPh>
    <phoneticPr fontId="62"/>
  </si>
  <si>
    <t>高体連サッカー専門部女子助成金</t>
    <rPh sb="0" eb="3">
      <t>コウタイレン</t>
    </rPh>
    <rPh sb="7" eb="9">
      <t>センモン</t>
    </rPh>
    <rPh sb="9" eb="10">
      <t>ブ</t>
    </rPh>
    <rPh sb="12" eb="15">
      <t>ジョセイキン</t>
    </rPh>
    <phoneticPr fontId="62"/>
  </si>
  <si>
    <t>埼玉県シニアサッカー連盟</t>
    <rPh sb="0" eb="3">
      <t>サイタマケン</t>
    </rPh>
    <rPh sb="10" eb="12">
      <t>レンメイ</t>
    </rPh>
    <phoneticPr fontId="0"/>
  </si>
  <si>
    <t>*　埼玉県サッカー協会会長杯兼O-40リーグ（1部・2部・3部）</t>
    <rPh sb="2" eb="5">
      <t>サイタマケン</t>
    </rPh>
    <rPh sb="9" eb="11">
      <t>キョウカイ</t>
    </rPh>
    <rPh sb="11" eb="13">
      <t>カイチョウ</t>
    </rPh>
    <rPh sb="13" eb="14">
      <t>ハイ</t>
    </rPh>
    <rPh sb="14" eb="15">
      <t>ケン</t>
    </rPh>
    <rPh sb="24" eb="25">
      <t>ブ</t>
    </rPh>
    <rPh sb="27" eb="28">
      <t>ブ</t>
    </rPh>
    <rPh sb="30" eb="31">
      <t>ブ</t>
    </rPh>
    <phoneticPr fontId="62"/>
  </si>
  <si>
    <t>関東シニア60・65・70埼玉大会</t>
    <rPh sb="0" eb="2">
      <t>カントウ</t>
    </rPh>
    <rPh sb="13" eb="15">
      <t>サイタマ</t>
    </rPh>
    <rPh sb="15" eb="17">
      <t>タイカイ</t>
    </rPh>
    <phoneticPr fontId="62"/>
  </si>
  <si>
    <t>シニア40南部リーグ</t>
    <rPh sb="5" eb="7">
      <t>ナンブ</t>
    </rPh>
    <phoneticPr fontId="62"/>
  </si>
  <si>
    <t>シニア40北部リーグ</t>
    <rPh sb="5" eb="7">
      <t>ホクブ</t>
    </rPh>
    <phoneticPr fontId="62"/>
  </si>
  <si>
    <t>県シニア50リーグ兼関東シニア埼玉県予選O-50</t>
    <rPh sb="0" eb="1">
      <t>ケン</t>
    </rPh>
    <rPh sb="9" eb="10">
      <t>ケン</t>
    </rPh>
    <rPh sb="10" eb="12">
      <t>カントウ</t>
    </rPh>
    <rPh sb="15" eb="18">
      <t>サイタマケン</t>
    </rPh>
    <rPh sb="18" eb="20">
      <t>ヨセン</t>
    </rPh>
    <phoneticPr fontId="62"/>
  </si>
  <si>
    <t>埼玉県シニア選手権O-50兼全国シニアO-50埼玉県予選</t>
    <rPh sb="0" eb="3">
      <t>サイタマケン</t>
    </rPh>
    <rPh sb="6" eb="9">
      <t>センシュケン</t>
    </rPh>
    <rPh sb="13" eb="14">
      <t>ケン</t>
    </rPh>
    <rPh sb="14" eb="16">
      <t>ゼンコク</t>
    </rPh>
    <rPh sb="23" eb="26">
      <t>サイタマケン</t>
    </rPh>
    <rPh sb="26" eb="28">
      <t>ヨセン</t>
    </rPh>
    <phoneticPr fontId="62"/>
  </si>
  <si>
    <t>関東シニアO-60</t>
    <rPh sb="0" eb="2">
      <t>カントウ</t>
    </rPh>
    <phoneticPr fontId="62"/>
  </si>
  <si>
    <t>***　関東シニア（50歳以上）サッカー選手権大会 …全国シニア選手権（O-50）関東予選</t>
    <rPh sb="4" eb="6">
      <t>カントウ</t>
    </rPh>
    <rPh sb="12" eb="15">
      <t>サイイジョウ</t>
    </rPh>
    <rPh sb="20" eb="23">
      <t>センシュケン</t>
    </rPh>
    <rPh sb="23" eb="25">
      <t>タイカイ</t>
    </rPh>
    <rPh sb="27" eb="29">
      <t>ゼンコク</t>
    </rPh>
    <rPh sb="32" eb="35">
      <t>センシュケン</t>
    </rPh>
    <rPh sb="41" eb="43">
      <t>カントウ</t>
    </rPh>
    <rPh sb="43" eb="45">
      <t>ヨセン6カントウサイイジョウセンシュケンタイカイゼンコクセンシュケンカントウヨセンゼンコクセンシュケンカントウヨセン</t>
    </rPh>
    <phoneticPr fontId="62"/>
  </si>
  <si>
    <t>***　JFA 全日本O-70サッカー大会関東予選</t>
    <rPh sb="8" eb="11">
      <t>ゼンニホン</t>
    </rPh>
    <rPh sb="19" eb="21">
      <t>タイカイ</t>
    </rPh>
    <rPh sb="21" eb="23">
      <t>カントウ</t>
    </rPh>
    <rPh sb="23" eb="25">
      <t>ヨセン</t>
    </rPh>
    <phoneticPr fontId="62"/>
  </si>
  <si>
    <t>***　関東協会補助金
持ち回り、今年度開催</t>
    <rPh sb="4" eb="6">
      <t>カントウ</t>
    </rPh>
    <rPh sb="6" eb="8">
      <t>キョウカイ</t>
    </rPh>
    <rPh sb="8" eb="11">
      <t>ホジョキン</t>
    </rPh>
    <rPh sb="17" eb="20">
      <t>コンネンド</t>
    </rPh>
    <rPh sb="20" eb="22">
      <t>カイサイ</t>
    </rPh>
    <phoneticPr fontId="3"/>
  </si>
  <si>
    <t>県民総合スポーツ大会O-40</t>
    <phoneticPr fontId="62"/>
  </si>
  <si>
    <t>埼玉スーパーシニアサッカー(O-70）大会</t>
    <rPh sb="0" eb="2">
      <t>サイタマ</t>
    </rPh>
    <rPh sb="19" eb="21">
      <t>タイカイ</t>
    </rPh>
    <phoneticPr fontId="62"/>
  </si>
  <si>
    <t>関東四十雀選手権O-40</t>
    <rPh sb="0" eb="2">
      <t>カントウ</t>
    </rPh>
    <rPh sb="2" eb="5">
      <t>シジュウカラ</t>
    </rPh>
    <rPh sb="5" eb="7">
      <t>センシュ</t>
    </rPh>
    <rPh sb="7" eb="8">
      <t>ケン</t>
    </rPh>
    <phoneticPr fontId="62"/>
  </si>
  <si>
    <t>関東四十雀選手権O-50</t>
    <rPh sb="0" eb="2">
      <t>カントウ</t>
    </rPh>
    <rPh sb="2" eb="5">
      <t>シジュウカラ</t>
    </rPh>
    <rPh sb="5" eb="7">
      <t>センシュ</t>
    </rPh>
    <rPh sb="7" eb="8">
      <t>ケン</t>
    </rPh>
    <phoneticPr fontId="62"/>
  </si>
  <si>
    <t>シニア連盟　集計</t>
    <rPh sb="3" eb="5">
      <t>レンメイ</t>
    </rPh>
    <phoneticPr fontId="3"/>
  </si>
  <si>
    <t>JFA 全日本U-18フットサル大会埼玉県大会</t>
    <rPh sb="16" eb="18">
      <t>タイカイ</t>
    </rPh>
    <phoneticPr fontId="62"/>
  </si>
  <si>
    <t>*　JFA 全日本U-15フットサル選手権大会埼玉県大会</t>
    <rPh sb="18" eb="21">
      <t>センシュケン</t>
    </rPh>
    <rPh sb="21" eb="23">
      <t>タイカイ</t>
    </rPh>
    <phoneticPr fontId="62"/>
  </si>
  <si>
    <t>JFA 全日本U-15女子フットサル大会埼玉県大会</t>
    <rPh sb="18" eb="20">
      <t>タイカイ</t>
    </rPh>
    <phoneticPr fontId="62"/>
  </si>
  <si>
    <t>*　JFA バーモントカップ 全日本U-12フットサル選手権大会埼玉県大会</t>
    <rPh sb="27" eb="30">
      <t>センシュケン</t>
    </rPh>
    <rPh sb="30" eb="32">
      <t>タイカイ</t>
    </rPh>
    <phoneticPr fontId="62"/>
  </si>
  <si>
    <t>***JFA 全日本フットサル選手権大会関東大会</t>
    <rPh sb="7" eb="10">
      <t>ゼンニホン</t>
    </rPh>
    <rPh sb="18" eb="20">
      <t>タイカイ</t>
    </rPh>
    <rPh sb="20" eb="22">
      <t>カントウ</t>
    </rPh>
    <rPh sb="22" eb="24">
      <t>タイカイ</t>
    </rPh>
    <phoneticPr fontId="62"/>
  </si>
  <si>
    <t>埼玉県フットサル連盟</t>
    <rPh sb="0" eb="3">
      <t>サイタマケン</t>
    </rPh>
    <rPh sb="8" eb="10">
      <t>レンメイ</t>
    </rPh>
    <phoneticPr fontId="0"/>
  </si>
  <si>
    <t>*　JFA 全日本フットサル選手権大会埼玉県大会</t>
    <rPh sb="17" eb="19">
      <t>タイカイ</t>
    </rPh>
    <phoneticPr fontId="62"/>
  </si>
  <si>
    <t>*　全日本大学フットサル大会埼玉県大会</t>
    <rPh sb="2" eb="5">
      <t>ゼンニホン</t>
    </rPh>
    <rPh sb="5" eb="7">
      <t>ダイガク</t>
    </rPh>
    <rPh sb="12" eb="14">
      <t>タイカイ</t>
    </rPh>
    <rPh sb="14" eb="17">
      <t>サイタマケン</t>
    </rPh>
    <rPh sb="17" eb="19">
      <t>タイカイ</t>
    </rPh>
    <phoneticPr fontId="62"/>
  </si>
  <si>
    <t>*　JFA 全日本女子フットサル選手権大会埼玉県大会</t>
    <rPh sb="19" eb="21">
      <t>タイカイ</t>
    </rPh>
    <phoneticPr fontId="62"/>
  </si>
  <si>
    <t>***　全日本大学フットサル関東大会</t>
    <rPh sb="4" eb="7">
      <t>ゼンニホン</t>
    </rPh>
    <rPh sb="7" eb="9">
      <t>ダイガク</t>
    </rPh>
    <rPh sb="14" eb="16">
      <t>カントウ</t>
    </rPh>
    <rPh sb="16" eb="18">
      <t>タイカイ</t>
    </rPh>
    <phoneticPr fontId="62"/>
  </si>
  <si>
    <t>***JFA 全日本U-18フットサル選手権大会関東大会</t>
    <rPh sb="7" eb="10">
      <t>ゼンニホン</t>
    </rPh>
    <rPh sb="22" eb="24">
      <t>タイカイ</t>
    </rPh>
    <rPh sb="24" eb="26">
      <t>カントウ</t>
    </rPh>
    <rPh sb="26" eb="28">
      <t>タイカイ</t>
    </rPh>
    <phoneticPr fontId="62"/>
  </si>
  <si>
    <t>全日本フットサル（U-15）関東</t>
    <rPh sb="0" eb="3">
      <t>ゼンニホン</t>
    </rPh>
    <rPh sb="14" eb="16">
      <t>カントウ</t>
    </rPh>
    <phoneticPr fontId="62"/>
  </si>
  <si>
    <t>全日本女子フットサル選手権関東大会（ティファール杯）</t>
    <rPh sb="0" eb="3">
      <t>ゼンニホン</t>
    </rPh>
    <rPh sb="3" eb="5">
      <t>ジョシ</t>
    </rPh>
    <rPh sb="10" eb="13">
      <t>センシュケン</t>
    </rPh>
    <rPh sb="13" eb="15">
      <t>カントウ</t>
    </rPh>
    <rPh sb="15" eb="17">
      <t>タイカイ</t>
    </rPh>
    <rPh sb="24" eb="25">
      <t>ハイ</t>
    </rPh>
    <phoneticPr fontId="62"/>
  </si>
  <si>
    <t>全国選抜フットサル関東大会</t>
    <rPh sb="0" eb="2">
      <t>ゼンコク</t>
    </rPh>
    <rPh sb="2" eb="4">
      <t>センバツ</t>
    </rPh>
    <rPh sb="9" eb="11">
      <t>カントウ</t>
    </rPh>
    <rPh sb="11" eb="13">
      <t>タイカイ</t>
    </rPh>
    <phoneticPr fontId="62"/>
  </si>
  <si>
    <t>全日本フットサルPUMACUP関東</t>
    <rPh sb="0" eb="3">
      <t>ゼンニホン</t>
    </rPh>
    <rPh sb="15" eb="17">
      <t>カントウ</t>
    </rPh>
    <phoneticPr fontId="62"/>
  </si>
  <si>
    <t>*　埼玉県フットサルリーグ１部</t>
    <rPh sb="4" eb="5">
      <t>ケン</t>
    </rPh>
    <rPh sb="14" eb="15">
      <t>ブ</t>
    </rPh>
    <phoneticPr fontId="62"/>
  </si>
  <si>
    <t>*　埼玉県フットサルリーグ2部</t>
    <rPh sb="4" eb="5">
      <t>ケン</t>
    </rPh>
    <rPh sb="14" eb="15">
      <t>ブ</t>
    </rPh>
    <phoneticPr fontId="62"/>
  </si>
  <si>
    <t>*　埼玉県フットサルリーグ3部</t>
    <rPh sb="4" eb="5">
      <t>ケン</t>
    </rPh>
    <rPh sb="14" eb="15">
      <t>ブ</t>
    </rPh>
    <phoneticPr fontId="62"/>
  </si>
  <si>
    <t>埼玉県フットサルリーグ4部</t>
    <rPh sb="2" eb="3">
      <t>ケン</t>
    </rPh>
    <rPh sb="12" eb="13">
      <t>ブ</t>
    </rPh>
    <phoneticPr fontId="62"/>
  </si>
  <si>
    <t>*　埼玉県U-18フットサルリーグ</t>
    <rPh sb="2" eb="4">
      <t>サイタマ</t>
    </rPh>
    <rPh sb="4" eb="5">
      <t>ケン</t>
    </rPh>
    <phoneticPr fontId="3"/>
  </si>
  <si>
    <t>プレ埼玉県U-15フットサルリーグ</t>
    <rPh sb="2" eb="5">
      <t>サイタマケン</t>
    </rPh>
    <phoneticPr fontId="62"/>
  </si>
  <si>
    <t>*　埼玉県女子フットサルリーグ</t>
    <rPh sb="2" eb="5">
      <t>サイタマケン</t>
    </rPh>
    <rPh sb="5" eb="7">
      <t>ジョシ</t>
    </rPh>
    <phoneticPr fontId="62"/>
  </si>
  <si>
    <t>*　埼玉県フットサルトレーニングセンター</t>
    <rPh sb="2" eb="5">
      <t>サイタマケン</t>
    </rPh>
    <phoneticPr fontId="62"/>
  </si>
  <si>
    <t>76</t>
    <phoneticPr fontId="3"/>
  </si>
  <si>
    <t>埼玉県フットサルリーグU-13</t>
    <rPh sb="0" eb="3">
      <t>サイタマケン</t>
    </rPh>
    <phoneticPr fontId="62"/>
  </si>
  <si>
    <t>埼玉県フットサルリーグU-10</t>
    <rPh sb="0" eb="3">
      <t>サイタマケン</t>
    </rPh>
    <phoneticPr fontId="62"/>
  </si>
  <si>
    <t>埼玉県フットサルリーグ参入戦・入替戦</t>
    <rPh sb="0" eb="3">
      <t>サイタマケン</t>
    </rPh>
    <rPh sb="11" eb="13">
      <t>サンニュウ</t>
    </rPh>
    <rPh sb="13" eb="14">
      <t>イクサ</t>
    </rPh>
    <rPh sb="15" eb="16">
      <t>イ</t>
    </rPh>
    <rPh sb="16" eb="17">
      <t>カ</t>
    </rPh>
    <rPh sb="17" eb="18">
      <t>セン</t>
    </rPh>
    <phoneticPr fontId="62"/>
  </si>
  <si>
    <t>埼玉県フットサルリーグ選抜強化</t>
    <rPh sb="0" eb="3">
      <t>サイタマケン</t>
    </rPh>
    <rPh sb="11" eb="13">
      <t>センバツ</t>
    </rPh>
    <rPh sb="13" eb="15">
      <t>キョウカ</t>
    </rPh>
    <phoneticPr fontId="62"/>
  </si>
  <si>
    <t>フットサル連盟助成金</t>
    <rPh sb="5" eb="7">
      <t>レンメイ</t>
    </rPh>
    <phoneticPr fontId="62"/>
  </si>
  <si>
    <t>フットサル連盟　集計</t>
    <rPh sb="5" eb="7">
      <t>レンメイ</t>
    </rPh>
    <phoneticPr fontId="3"/>
  </si>
  <si>
    <t>+ 技術担当者専任化</t>
    <phoneticPr fontId="3"/>
  </si>
  <si>
    <t>+ JFA補助金</t>
    <phoneticPr fontId="3"/>
  </si>
  <si>
    <t>事務局内費用</t>
    <rPh sb="0" eb="3">
      <t>ジムキョク</t>
    </rPh>
    <rPh sb="3" eb="4">
      <t>ナイ</t>
    </rPh>
    <rPh sb="4" eb="6">
      <t>ヒヨウ</t>
    </rPh>
    <phoneticPr fontId="62"/>
  </si>
  <si>
    <t>４級審判員新規取得講習会</t>
    <rPh sb="1" eb="2">
      <t>キュウ</t>
    </rPh>
    <rPh sb="2" eb="5">
      <t>シンパンイン</t>
    </rPh>
    <rPh sb="5" eb="7">
      <t>シンキ</t>
    </rPh>
    <rPh sb="7" eb="9">
      <t>シュトク</t>
    </rPh>
    <rPh sb="9" eb="12">
      <t>コウシュウカイ</t>
    </rPh>
    <phoneticPr fontId="62"/>
  </si>
  <si>
    <t>４級審判員更新講習会</t>
    <rPh sb="1" eb="2">
      <t>キュウ</t>
    </rPh>
    <rPh sb="2" eb="5">
      <t>シンパンイン</t>
    </rPh>
    <rPh sb="5" eb="7">
      <t>コウシン</t>
    </rPh>
    <rPh sb="7" eb="10">
      <t>コウシュウカイ</t>
    </rPh>
    <phoneticPr fontId="62"/>
  </si>
  <si>
    <t>2.3級審判員更新講習会</t>
    <rPh sb="3" eb="4">
      <t>キュウ</t>
    </rPh>
    <rPh sb="4" eb="7">
      <t>シンパンイン</t>
    </rPh>
    <rPh sb="7" eb="9">
      <t>コウシン</t>
    </rPh>
    <rPh sb="9" eb="12">
      <t>コウシュウカイ</t>
    </rPh>
    <phoneticPr fontId="62"/>
  </si>
  <si>
    <t>審判委員会/講習会開催あり</t>
    <rPh sb="0" eb="2">
      <t>シンパン</t>
    </rPh>
    <rPh sb="2" eb="5">
      <t>イインカイ</t>
    </rPh>
    <rPh sb="6" eb="11">
      <t>コウシュウカイカイサイ</t>
    </rPh>
    <phoneticPr fontId="3"/>
  </si>
  <si>
    <t>*　新規（資格取得）・更新等に伴う審判講習会開催（講師派遣含）</t>
    <rPh sb="2" eb="4">
      <t>シンキ</t>
    </rPh>
    <rPh sb="5" eb="7">
      <t>シカク</t>
    </rPh>
    <rPh sb="7" eb="9">
      <t>シュトク</t>
    </rPh>
    <rPh sb="11" eb="13">
      <t>コウシン</t>
    </rPh>
    <rPh sb="13" eb="14">
      <t>トウ</t>
    </rPh>
    <rPh sb="15" eb="16">
      <t>トモナ</t>
    </rPh>
    <rPh sb="17" eb="19">
      <t>シンパン</t>
    </rPh>
    <rPh sb="19" eb="22">
      <t>コウシュウカイ</t>
    </rPh>
    <rPh sb="22" eb="24">
      <t>カイサイ</t>
    </rPh>
    <rPh sb="25" eb="29">
      <t>コウシハケン</t>
    </rPh>
    <rPh sb="29" eb="30">
      <t>フクム</t>
    </rPh>
    <phoneticPr fontId="62"/>
  </si>
  <si>
    <t>登録審判員案内印刷・送付等</t>
    <rPh sb="0" eb="2">
      <t>トウロク</t>
    </rPh>
    <rPh sb="2" eb="4">
      <t>シンパン</t>
    </rPh>
    <rPh sb="4" eb="5">
      <t>イン</t>
    </rPh>
    <rPh sb="5" eb="7">
      <t>アンナイ</t>
    </rPh>
    <rPh sb="7" eb="9">
      <t>インサツ</t>
    </rPh>
    <rPh sb="10" eb="12">
      <t>ソウフ</t>
    </rPh>
    <rPh sb="12" eb="13">
      <t>トウ</t>
    </rPh>
    <phoneticPr fontId="62"/>
  </si>
  <si>
    <t>審判員・インストラクター登録料</t>
    <rPh sb="0" eb="2">
      <t>シンパン</t>
    </rPh>
    <rPh sb="2" eb="3">
      <t>イン</t>
    </rPh>
    <rPh sb="12" eb="14">
      <t>トウロク</t>
    </rPh>
    <rPh sb="14" eb="15">
      <t>リョウ</t>
    </rPh>
    <phoneticPr fontId="62"/>
  </si>
  <si>
    <t>*　SFAニュース発行</t>
    <rPh sb="9" eb="11">
      <t>ハッコウ</t>
    </rPh>
    <phoneticPr fontId="62"/>
  </si>
  <si>
    <t>*　SFAニュース取材編集委託　※SFAニュース発行と統合</t>
    <rPh sb="9" eb="11">
      <t>シュザイ</t>
    </rPh>
    <rPh sb="11" eb="13">
      <t>ヘンシュウ</t>
    </rPh>
    <rPh sb="13" eb="15">
      <t>イタク</t>
    </rPh>
    <rPh sb="24" eb="26">
      <t>ハッコウ</t>
    </rPh>
    <rPh sb="27" eb="29">
      <t>トウゴウ</t>
    </rPh>
    <phoneticPr fontId="62"/>
  </si>
  <si>
    <t>*　ホームページ運営・維持管理</t>
    <rPh sb="8" eb="10">
      <t>ウンエイ</t>
    </rPh>
    <rPh sb="11" eb="13">
      <t>イジ</t>
    </rPh>
    <rPh sb="13" eb="15">
      <t>カンリ</t>
    </rPh>
    <phoneticPr fontId="62"/>
  </si>
  <si>
    <t>*　ホームページ機能拡張</t>
    <rPh sb="8" eb="10">
      <t>キノウ</t>
    </rPh>
    <rPh sb="10" eb="12">
      <t>カクチョウ</t>
    </rPh>
    <phoneticPr fontId="62"/>
  </si>
  <si>
    <t>ホームページ広告</t>
    <phoneticPr fontId="62"/>
  </si>
  <si>
    <t>インターンシップ</t>
    <phoneticPr fontId="62"/>
  </si>
  <si>
    <t>施設委員会運営費</t>
    <rPh sb="0" eb="2">
      <t>シセツ</t>
    </rPh>
    <rPh sb="2" eb="5">
      <t>イインカイ</t>
    </rPh>
    <phoneticPr fontId="62"/>
  </si>
  <si>
    <t>84</t>
    <phoneticPr fontId="3"/>
  </si>
  <si>
    <t>医事委員会運営費</t>
    <rPh sb="0" eb="2">
      <t>イジ</t>
    </rPh>
    <rPh sb="2" eb="5">
      <t>イインカイ</t>
    </rPh>
    <phoneticPr fontId="62"/>
  </si>
  <si>
    <t>85</t>
    <phoneticPr fontId="3"/>
  </si>
  <si>
    <t>フェアプレー・規律委員会運営費</t>
    <rPh sb="7" eb="9">
      <t>キリツ</t>
    </rPh>
    <rPh sb="9" eb="12">
      <t>イインカイ</t>
    </rPh>
    <phoneticPr fontId="62"/>
  </si>
  <si>
    <t>86</t>
    <phoneticPr fontId="3"/>
  </si>
  <si>
    <t>科学委員会運営費</t>
    <rPh sb="0" eb="2">
      <t>カガク</t>
    </rPh>
    <rPh sb="2" eb="5">
      <t>イインカイ</t>
    </rPh>
    <phoneticPr fontId="62"/>
  </si>
  <si>
    <t>87</t>
    <phoneticPr fontId="3"/>
  </si>
  <si>
    <t>その他委員会費用（事務局扱い）</t>
    <rPh sb="2" eb="3">
      <t>タ</t>
    </rPh>
    <rPh sb="3" eb="6">
      <t>イインカイ</t>
    </rPh>
    <rPh sb="6" eb="8">
      <t>ヒヨウ</t>
    </rPh>
    <rPh sb="9" eb="12">
      <t>ジムキョク</t>
    </rPh>
    <rPh sb="12" eb="13">
      <t>アツカ</t>
    </rPh>
    <phoneticPr fontId="62"/>
  </si>
  <si>
    <t>88</t>
    <phoneticPr fontId="3"/>
  </si>
  <si>
    <t>**　JFAフットボールデー</t>
    <phoneticPr fontId="3"/>
  </si>
  <si>
    <t>**　女子サッカーデー</t>
    <rPh sb="3" eb="5">
      <t>ジョシ</t>
    </rPh>
    <phoneticPr fontId="3"/>
  </si>
  <si>
    <t>**　登録拡大推進事業/WEリーグでの周知活動</t>
    <rPh sb="3" eb="7">
      <t>トウロクカクダイ</t>
    </rPh>
    <rPh sb="7" eb="9">
      <t>スイシン</t>
    </rPh>
    <rPh sb="9" eb="11">
      <t>ジギョウ</t>
    </rPh>
    <phoneticPr fontId="62"/>
  </si>
  <si>
    <t>95</t>
    <phoneticPr fontId="3"/>
  </si>
  <si>
    <t>*　施設・医事賠償保険（事故対策）</t>
    <rPh sb="2" eb="4">
      <t>シセツ</t>
    </rPh>
    <rPh sb="5" eb="7">
      <t>イジ</t>
    </rPh>
    <rPh sb="7" eb="9">
      <t>バイショウ</t>
    </rPh>
    <rPh sb="9" eb="11">
      <t>ホケン</t>
    </rPh>
    <phoneticPr fontId="62"/>
  </si>
  <si>
    <t>96</t>
    <phoneticPr fontId="3"/>
  </si>
  <si>
    <t>スポーツマネジャー養成</t>
    <rPh sb="9" eb="11">
      <t>ヨウセイ</t>
    </rPh>
    <phoneticPr fontId="3"/>
  </si>
  <si>
    <t>受益者負担/SMCサテライト講座</t>
    <rPh sb="0" eb="3">
      <t>ジュエキシャ</t>
    </rPh>
    <rPh sb="3" eb="5">
      <t>フタン</t>
    </rPh>
    <rPh sb="14" eb="16">
      <t>コウザ</t>
    </rPh>
    <phoneticPr fontId="62"/>
  </si>
  <si>
    <t>2年に1回/2021年度開催</t>
    <rPh sb="1" eb="2">
      <t>ネン</t>
    </rPh>
    <rPh sb="4" eb="5">
      <t>カイ</t>
    </rPh>
    <rPh sb="10" eb="12">
      <t>ネンド</t>
    </rPh>
    <rPh sb="12" eb="14">
      <t>カイサイ</t>
    </rPh>
    <phoneticPr fontId="3"/>
  </si>
  <si>
    <t>市町協会助成金</t>
    <rPh sb="0" eb="2">
      <t>シチョウ</t>
    </rPh>
    <rPh sb="2" eb="4">
      <t>キョウカイ</t>
    </rPh>
    <rPh sb="4" eb="6">
      <t>ジョセイ</t>
    </rPh>
    <rPh sb="6" eb="7">
      <t>キン</t>
    </rPh>
    <phoneticPr fontId="62"/>
  </si>
  <si>
    <t>埼玉県スポーツ協会負担金</t>
    <rPh sb="0" eb="2">
      <t>サイタマ</t>
    </rPh>
    <rPh sb="2" eb="3">
      <t>ケン</t>
    </rPh>
    <rPh sb="7" eb="8">
      <t>キョウ</t>
    </rPh>
    <rPh sb="8" eb="9">
      <t>カイ</t>
    </rPh>
    <rPh sb="9" eb="12">
      <t>フタンキン</t>
    </rPh>
    <phoneticPr fontId="62"/>
  </si>
  <si>
    <t>市町協会理事長会議</t>
    <rPh sb="0" eb="2">
      <t>シチョウ</t>
    </rPh>
    <rPh sb="2" eb="4">
      <t>キョウカイ</t>
    </rPh>
    <rPh sb="4" eb="7">
      <t>リジチョウ</t>
    </rPh>
    <rPh sb="7" eb="9">
      <t>カイギ</t>
    </rPh>
    <phoneticPr fontId="62"/>
  </si>
  <si>
    <r>
      <t>*　埼玉県第4種サッカーリーグ選手権（決勝）/</t>
    </r>
    <r>
      <rPr>
        <u/>
        <sz val="10"/>
        <rFont val="ＭＳ Ｐゴシック"/>
        <family val="3"/>
        <charset val="128"/>
      </rPr>
      <t>収入に伴う支出</t>
    </r>
    <rPh sb="2" eb="5">
      <t>サイタマケン</t>
    </rPh>
    <rPh sb="5" eb="6">
      <t>ダイ</t>
    </rPh>
    <rPh sb="7" eb="8">
      <t>シュ</t>
    </rPh>
    <rPh sb="15" eb="18">
      <t>センシュケン</t>
    </rPh>
    <rPh sb="19" eb="21">
      <t>ケッショウ</t>
    </rPh>
    <phoneticPr fontId="62"/>
  </si>
  <si>
    <t>高校選手権埼玉県大会オンラインチケット販売</t>
    <rPh sb="0" eb="2">
      <t>コウコウ</t>
    </rPh>
    <rPh sb="2" eb="5">
      <t>センシュケン</t>
    </rPh>
    <rPh sb="5" eb="8">
      <t>サイタマケン</t>
    </rPh>
    <rPh sb="8" eb="10">
      <t>タイカイ</t>
    </rPh>
    <rPh sb="19" eb="21">
      <t>ハンバイ</t>
    </rPh>
    <phoneticPr fontId="62"/>
  </si>
  <si>
    <t>埼玉国際サッカーフェスティバル</t>
    <rPh sb="0" eb="2">
      <t>サイタマ</t>
    </rPh>
    <rPh sb="2" eb="4">
      <t>コクサイ</t>
    </rPh>
    <phoneticPr fontId="62"/>
  </si>
  <si>
    <t>埼玉県へ負担金、2021年度より開催なし</t>
    <rPh sb="0" eb="3">
      <t>サイタマケン</t>
    </rPh>
    <rPh sb="4" eb="7">
      <t>フタンキン</t>
    </rPh>
    <rPh sb="12" eb="14">
      <t>ネンド</t>
    </rPh>
    <rPh sb="16" eb="18">
      <t>カイサイ</t>
    </rPh>
    <phoneticPr fontId="3"/>
  </si>
  <si>
    <t>選抜高校女子サッカー大会「めぬまカップ」　※事業費終了</t>
    <rPh sb="0" eb="2">
      <t>センバツ</t>
    </rPh>
    <rPh sb="2" eb="4">
      <t>コウコウ</t>
    </rPh>
    <rPh sb="4" eb="6">
      <t>ジョシ</t>
    </rPh>
    <rPh sb="10" eb="12">
      <t>タイカイ</t>
    </rPh>
    <rPh sb="22" eb="25">
      <t>ジギョウヒ</t>
    </rPh>
    <rPh sb="25" eb="27">
      <t>シュウリョウ</t>
    </rPh>
    <phoneticPr fontId="62"/>
  </si>
  <si>
    <t>・天皇杯JFA全日本サッカー選手権大会(2回戦*1・3回戦*2）</t>
    <rPh sb="1" eb="3">
      <t>テンノウ</t>
    </rPh>
    <rPh sb="3" eb="4">
      <t>ハイ</t>
    </rPh>
    <rPh sb="7" eb="10">
      <t>ゼンニホン</t>
    </rPh>
    <rPh sb="14" eb="17">
      <t>センシュケン</t>
    </rPh>
    <rPh sb="17" eb="19">
      <t>タイカイ</t>
    </rPh>
    <rPh sb="21" eb="23">
      <t>カイセン</t>
    </rPh>
    <phoneticPr fontId="62"/>
  </si>
  <si>
    <t>・受託　国際試合（13試合）</t>
    <rPh sb="1" eb="3">
      <t>ジュタク</t>
    </rPh>
    <rPh sb="4" eb="6">
      <t>コクサイ</t>
    </rPh>
    <rPh sb="6" eb="8">
      <t>シアイ</t>
    </rPh>
    <rPh sb="11" eb="13">
      <t>シアイ</t>
    </rPh>
    <phoneticPr fontId="62"/>
  </si>
  <si>
    <t>・受託　全国高等学校サッカー選手権大会</t>
    <rPh sb="1" eb="3">
      <t>ジュタク</t>
    </rPh>
    <rPh sb="4" eb="6">
      <t>ゼンコク</t>
    </rPh>
    <rPh sb="6" eb="8">
      <t>コウトウ</t>
    </rPh>
    <rPh sb="8" eb="10">
      <t>ガッコウ</t>
    </rPh>
    <rPh sb="14" eb="17">
      <t>センシュケン</t>
    </rPh>
    <rPh sb="17" eb="19">
      <t>タイカイ</t>
    </rPh>
    <phoneticPr fontId="62"/>
  </si>
  <si>
    <t>・JFAより、2021年度から運営受託金なし</t>
  </si>
  <si>
    <t>・受託　JリーグYBCルヴァンカップ決勝</t>
    <rPh sb="1" eb="3">
      <t>ジュタク</t>
    </rPh>
    <rPh sb="18" eb="20">
      <t>ケッショウ</t>
    </rPh>
    <phoneticPr fontId="62"/>
  </si>
  <si>
    <t>・受託　eスポーツ（国体）</t>
    <rPh sb="1" eb="3">
      <t>ジュタク</t>
    </rPh>
    <rPh sb="10" eb="12">
      <t>コクタイ</t>
    </rPh>
    <phoneticPr fontId="62"/>
  </si>
  <si>
    <t>・受託/その他大会＜複数の場合末尾数字+1＞</t>
    <rPh sb="1" eb="3">
      <t>ジュタク</t>
    </rPh>
    <rPh sb="6" eb="7">
      <t>タ</t>
    </rPh>
    <rPh sb="7" eb="9">
      <t>タイカイ</t>
    </rPh>
    <rPh sb="10" eb="12">
      <t>フクスウ</t>
    </rPh>
    <rPh sb="13" eb="15">
      <t>バアイ</t>
    </rPh>
    <rPh sb="15" eb="17">
      <t>マツビ</t>
    </rPh>
    <rPh sb="17" eb="19">
      <t>スウジ</t>
    </rPh>
    <phoneticPr fontId="62"/>
  </si>
  <si>
    <t>**　障害者サッカー大会補助</t>
    <rPh sb="3" eb="6">
      <t>ショウガイシャ</t>
    </rPh>
    <rPh sb="10" eb="12">
      <t>タイカイ</t>
    </rPh>
    <rPh sb="12" eb="14">
      <t>ホジョ</t>
    </rPh>
    <phoneticPr fontId="62"/>
  </si>
  <si>
    <t>基本財産運用益</t>
    <rPh sb="0" eb="2">
      <t>キホン</t>
    </rPh>
    <rPh sb="2" eb="4">
      <t>ザイサン</t>
    </rPh>
    <rPh sb="4" eb="7">
      <t>ウンヨウエキ</t>
    </rPh>
    <phoneticPr fontId="62"/>
  </si>
  <si>
    <t>県代表奨励費</t>
    <rPh sb="0" eb="1">
      <t>ケン</t>
    </rPh>
    <rPh sb="1" eb="3">
      <t>ダイヒョウ</t>
    </rPh>
    <rPh sb="3" eb="5">
      <t>ショウレイ</t>
    </rPh>
    <rPh sb="5" eb="6">
      <t>ヒ</t>
    </rPh>
    <phoneticPr fontId="62"/>
  </si>
  <si>
    <t>*　フットボールセンター運営（アルバイト・固定資産税等含）</t>
    <rPh sb="12" eb="14">
      <t>ウンエイ</t>
    </rPh>
    <rPh sb="21" eb="23">
      <t>コテイ</t>
    </rPh>
    <rPh sb="23" eb="26">
      <t>シサンゼイ</t>
    </rPh>
    <rPh sb="26" eb="27">
      <t>トウ</t>
    </rPh>
    <rPh sb="27" eb="28">
      <t>フクム</t>
    </rPh>
    <phoneticPr fontId="62"/>
  </si>
  <si>
    <t>フットボールセンター物品追加購入</t>
    <rPh sb="10" eb="12">
      <t>ブッピン</t>
    </rPh>
    <rPh sb="12" eb="14">
      <t>ツイカ</t>
    </rPh>
    <rPh sb="14" eb="16">
      <t>コウニュウ</t>
    </rPh>
    <phoneticPr fontId="62"/>
  </si>
  <si>
    <t>フットボールセンター芝張替積立（特定資産）</t>
    <rPh sb="10" eb="11">
      <t>シバ</t>
    </rPh>
    <rPh sb="11" eb="13">
      <t>ハリカエ</t>
    </rPh>
    <rPh sb="13" eb="15">
      <t>ツミタテ</t>
    </rPh>
    <rPh sb="16" eb="18">
      <t>トクテイ</t>
    </rPh>
    <rPh sb="18" eb="20">
      <t>シサン</t>
    </rPh>
    <phoneticPr fontId="62"/>
  </si>
  <si>
    <t>フットボールセンター自販機販売手数料</t>
    <rPh sb="10" eb="13">
      <t>ジハンキ</t>
    </rPh>
    <rPh sb="13" eb="15">
      <t>ハンバイ</t>
    </rPh>
    <rPh sb="15" eb="18">
      <t>テスウリョウ</t>
    </rPh>
    <phoneticPr fontId="62"/>
  </si>
  <si>
    <t>売店・物品販売手数料</t>
    <rPh sb="0" eb="2">
      <t>バイテン</t>
    </rPh>
    <rPh sb="3" eb="5">
      <t>ブッピン</t>
    </rPh>
    <rPh sb="5" eb="7">
      <t>ハンバイ</t>
    </rPh>
    <rPh sb="7" eb="10">
      <t>テスウリョウ</t>
    </rPh>
    <phoneticPr fontId="62"/>
  </si>
  <si>
    <t>ユニフォーム広告申請・その他手数料</t>
    <rPh sb="6" eb="8">
      <t>コウコク</t>
    </rPh>
    <rPh sb="8" eb="10">
      <t>シンセイ</t>
    </rPh>
    <rPh sb="13" eb="14">
      <t>タ</t>
    </rPh>
    <rPh sb="14" eb="16">
      <t>テスウ</t>
    </rPh>
    <rPh sb="16" eb="17">
      <t>リョウ</t>
    </rPh>
    <phoneticPr fontId="62"/>
  </si>
  <si>
    <t>日本代表・選手カレンダー販売</t>
    <rPh sb="0" eb="2">
      <t>ニホン</t>
    </rPh>
    <rPh sb="2" eb="4">
      <t>ダイヒョウ</t>
    </rPh>
    <rPh sb="5" eb="7">
      <t>センシュ</t>
    </rPh>
    <rPh sb="12" eb="14">
      <t>ハンバイ</t>
    </rPh>
    <phoneticPr fontId="62"/>
  </si>
  <si>
    <t>メーカー製品販売</t>
    <rPh sb="4" eb="6">
      <t>セイヒン</t>
    </rPh>
    <rPh sb="6" eb="8">
      <t>ハンバイ</t>
    </rPh>
    <phoneticPr fontId="62"/>
  </si>
  <si>
    <t>今年度販売なし</t>
    <rPh sb="0" eb="3">
      <t>コンネンド</t>
    </rPh>
    <rPh sb="3" eb="5">
      <t>ハンバイ</t>
    </rPh>
    <phoneticPr fontId="3"/>
  </si>
  <si>
    <t>サッカー　チーム選手登録</t>
    <rPh sb="8" eb="10">
      <t>センシュ</t>
    </rPh>
    <rPh sb="10" eb="12">
      <t>トウロク</t>
    </rPh>
    <phoneticPr fontId="62"/>
  </si>
  <si>
    <t>フットサル　チーム選手登録</t>
    <rPh sb="9" eb="11">
      <t>センシュ</t>
    </rPh>
    <rPh sb="11" eb="13">
      <t>トウロク</t>
    </rPh>
    <phoneticPr fontId="62"/>
  </si>
  <si>
    <t>役員登録</t>
    <rPh sb="0" eb="2">
      <t>ヤクイン</t>
    </rPh>
    <rPh sb="2" eb="4">
      <t>トウロク</t>
    </rPh>
    <phoneticPr fontId="62"/>
  </si>
  <si>
    <t>法人税・消費税他</t>
    <rPh sb="0" eb="3">
      <t>ホウジンゼイ</t>
    </rPh>
    <rPh sb="4" eb="7">
      <t>ショウヒゼイ</t>
    </rPh>
    <rPh sb="7" eb="8">
      <t>ホカ</t>
    </rPh>
    <phoneticPr fontId="62"/>
  </si>
  <si>
    <t>義援金（東日本大震災・熊本地震・その他災害）</t>
    <rPh sb="0" eb="3">
      <t>ギエンキン</t>
    </rPh>
    <rPh sb="4" eb="5">
      <t>ヒガシ</t>
    </rPh>
    <rPh sb="5" eb="7">
      <t>ニホン</t>
    </rPh>
    <rPh sb="7" eb="10">
      <t>ダイシンサイ</t>
    </rPh>
    <rPh sb="11" eb="13">
      <t>クマモト</t>
    </rPh>
    <rPh sb="13" eb="15">
      <t>ジシン</t>
    </rPh>
    <rPh sb="18" eb="19">
      <t>タ</t>
    </rPh>
    <rPh sb="19" eb="21">
      <t>サイガイ</t>
    </rPh>
    <phoneticPr fontId="62"/>
  </si>
  <si>
    <r>
      <t xml:space="preserve">*　47FA一括補助金/基盤強化（一部）
</t>
    </r>
    <r>
      <rPr>
        <sz val="10"/>
        <rFont val="ＭＳ Ｐゴシック"/>
        <family val="3"/>
        <charset val="128"/>
      </rPr>
      <t>役員報酬・応援派遣費用・給与（臨時雇含）</t>
    </r>
    <rPh sb="6" eb="8">
      <t>イッカツ</t>
    </rPh>
    <rPh sb="8" eb="11">
      <t>ホジョキン</t>
    </rPh>
    <rPh sb="12" eb="14">
      <t>キバン</t>
    </rPh>
    <rPh sb="14" eb="16">
      <t>キョウカ</t>
    </rPh>
    <rPh sb="17" eb="19">
      <t>イチブ</t>
    </rPh>
    <rPh sb="21" eb="23">
      <t>ヤクイン</t>
    </rPh>
    <rPh sb="23" eb="25">
      <t>ホウシュウ</t>
    </rPh>
    <rPh sb="26" eb="28">
      <t>オウエン</t>
    </rPh>
    <rPh sb="28" eb="30">
      <t>ハケン</t>
    </rPh>
    <rPh sb="30" eb="32">
      <t>ヒヨウ</t>
    </rPh>
    <rPh sb="33" eb="35">
      <t>キュウヨ</t>
    </rPh>
    <rPh sb="36" eb="38">
      <t>リンジ</t>
    </rPh>
    <rPh sb="38" eb="39">
      <t>ヤト</t>
    </rPh>
    <rPh sb="39" eb="40">
      <t>フク</t>
    </rPh>
    <phoneticPr fontId="53"/>
  </si>
  <si>
    <t>会議飲料等（交通費除く）</t>
    <rPh sb="0" eb="2">
      <t>カイギ</t>
    </rPh>
    <rPh sb="2" eb="4">
      <t>インリョウ</t>
    </rPh>
    <rPh sb="4" eb="5">
      <t>トウ</t>
    </rPh>
    <rPh sb="6" eb="10">
      <t>コウツウヒノゾ</t>
    </rPh>
    <phoneticPr fontId="53"/>
  </si>
  <si>
    <t>業務上交通費
理事会・評議員会・運営会議等交通費</t>
    <rPh sb="0" eb="3">
      <t>ギョウムジョウ</t>
    </rPh>
    <rPh sb="3" eb="6">
      <t>コウツウヒ</t>
    </rPh>
    <rPh sb="20" eb="21">
      <t>トウ</t>
    </rPh>
    <rPh sb="21" eb="24">
      <t>コウツウヒ</t>
    </rPh>
    <phoneticPr fontId="53"/>
  </si>
  <si>
    <t>宅配便等</t>
    <rPh sb="0" eb="3">
      <t>タクハイビン</t>
    </rPh>
    <rPh sb="3" eb="4">
      <t>トウ</t>
    </rPh>
    <phoneticPr fontId="53"/>
  </si>
  <si>
    <t>事務所電気代・水道料金</t>
    <rPh sb="0" eb="2">
      <t>ジム</t>
    </rPh>
    <rPh sb="2" eb="3">
      <t>ショ</t>
    </rPh>
    <rPh sb="3" eb="6">
      <t>デンキダイ</t>
    </rPh>
    <rPh sb="7" eb="9">
      <t>スイドウ</t>
    </rPh>
    <rPh sb="9" eb="11">
      <t>リョウキン</t>
    </rPh>
    <phoneticPr fontId="53"/>
  </si>
  <si>
    <t>事務所賃借料（駐車場2台含）
複合機、他</t>
    <rPh sb="0" eb="2">
      <t>ジム</t>
    </rPh>
    <rPh sb="2" eb="3">
      <t>ショ</t>
    </rPh>
    <rPh sb="3" eb="6">
      <t>チンシャクリョウ</t>
    </rPh>
    <rPh sb="7" eb="10">
      <t>チュウシャジョウ</t>
    </rPh>
    <rPh sb="11" eb="12">
      <t>ダイ</t>
    </rPh>
    <rPh sb="12" eb="13">
      <t>フク</t>
    </rPh>
    <rPh sb="19" eb="20">
      <t>ホカ</t>
    </rPh>
    <phoneticPr fontId="53"/>
  </si>
  <si>
    <t>法律・会計顧問・公益関連業務委託、事務所警備、他</t>
    <rPh sb="0" eb="2">
      <t>ホウリツ</t>
    </rPh>
    <rPh sb="3" eb="5">
      <t>カイケイ</t>
    </rPh>
    <rPh sb="5" eb="7">
      <t>コモン</t>
    </rPh>
    <rPh sb="10" eb="12">
      <t>カンレン</t>
    </rPh>
    <rPh sb="17" eb="19">
      <t>ジム</t>
    </rPh>
    <rPh sb="19" eb="20">
      <t>ショ</t>
    </rPh>
    <rPh sb="20" eb="22">
      <t>ケイビ</t>
    </rPh>
    <rPh sb="23" eb="24">
      <t>ホカ</t>
    </rPh>
    <phoneticPr fontId="3"/>
  </si>
  <si>
    <r>
      <t xml:space="preserve">収支 </t>
    </r>
    <r>
      <rPr>
        <sz val="11"/>
        <rFont val="ＭＳ Ｐゴシック"/>
        <family val="3"/>
        <charset val="128"/>
      </rPr>
      <t>差額</t>
    </r>
    <rPh sb="0" eb="2">
      <t>シュウシ</t>
    </rPh>
    <rPh sb="3" eb="5">
      <t>サガク</t>
    </rPh>
    <phoneticPr fontId="3"/>
  </si>
  <si>
    <t xml:space="preserve"> 収入-支出=</t>
    <rPh sb="1" eb="3">
      <t>シュウニュウ</t>
    </rPh>
    <rPh sb="4" eb="6">
      <t>シシュツ</t>
    </rPh>
    <phoneticPr fontId="3"/>
  </si>
  <si>
    <t>※委員会・連盟の事業で利用する場合のみ、事業№の入力をお願いします。（チームでの利用の場合は必要ありません）</t>
    <rPh sb="1" eb="4">
      <t>イインカイ</t>
    </rPh>
    <rPh sb="5" eb="7">
      <t>レンメイ</t>
    </rPh>
    <rPh sb="8" eb="10">
      <t>ジギョウ</t>
    </rPh>
    <rPh sb="11" eb="13">
      <t>リヨウ</t>
    </rPh>
    <rPh sb="15" eb="17">
      <t>バアイ</t>
    </rPh>
    <rPh sb="20" eb="22">
      <t>ジギョウ</t>
    </rPh>
    <rPh sb="24" eb="26">
      <t>ニュウリョク</t>
    </rPh>
    <rPh sb="28" eb="29">
      <t>ネガ</t>
    </rPh>
    <rPh sb="40" eb="42">
      <t>リヨウ</t>
    </rPh>
    <rPh sb="43" eb="45">
      <t>バアイ</t>
    </rPh>
    <rPh sb="46" eb="48">
      <t>ヒツヨウ</t>
    </rPh>
    <phoneticPr fontId="3"/>
  </si>
  <si>
    <t>※以下のとおり、利用を許可します</t>
    <rPh sb="1" eb="3">
      <t>イカ</t>
    </rPh>
    <rPh sb="8" eb="10">
      <t>リヨウ</t>
    </rPh>
    <rPh sb="11" eb="13">
      <t>キョカ</t>
    </rPh>
    <phoneticPr fontId="3"/>
  </si>
  <si>
    <t>フットボールセンター（利用当日のみ）　</t>
    <rPh sb="11" eb="13">
      <t>リヨウ</t>
    </rPh>
    <rPh sb="13" eb="15">
      <t>トウジツ</t>
    </rPh>
    <phoneticPr fontId="3"/>
  </si>
  <si>
    <t>　TEL：070-7522-4061</t>
    <phoneticPr fontId="3"/>
  </si>
  <si>
    <t>（公財）埼玉県サッカー協会　　</t>
    <rPh sb="1" eb="3">
      <t>コウザイ</t>
    </rPh>
    <rPh sb="4" eb="6">
      <t>サイタマ</t>
    </rPh>
    <rPh sb="6" eb="7">
      <t>ケン</t>
    </rPh>
    <rPh sb="11" eb="13">
      <t>キョウカイ</t>
    </rPh>
    <phoneticPr fontId="3"/>
  </si>
  <si>
    <t>　TEL：048-834-2002　　FAX：048-834-2004</t>
    <phoneticPr fontId="3"/>
  </si>
  <si>
    <t>　（様式1）</t>
    <phoneticPr fontId="3"/>
  </si>
  <si>
    <t>（公財）埼玉県サッカー協会　事務局長　様</t>
    <rPh sb="1" eb="2">
      <t>コウ</t>
    </rPh>
    <rPh sb="2" eb="3">
      <t>ザイ</t>
    </rPh>
    <rPh sb="4" eb="7">
      <t>サイタマケン</t>
    </rPh>
    <rPh sb="11" eb="13">
      <t>キョウカイ</t>
    </rPh>
    <rPh sb="14" eb="16">
      <t>ジム</t>
    </rPh>
    <rPh sb="16" eb="18">
      <t>キョクチョウ</t>
    </rPh>
    <rPh sb="19" eb="20">
      <t>サマ</t>
    </rPh>
    <phoneticPr fontId="3"/>
  </si>
  <si>
    <r>
      <t xml:space="preserve">                    </t>
    </r>
    <r>
      <rPr>
        <b/>
        <sz val="18"/>
        <rFont val="ＭＳ Ｐゴシック"/>
        <family val="3"/>
        <charset val="128"/>
      </rPr>
      <t>埼玉県サッカー協会フットボールセンター　利用許可申請書　</t>
    </r>
    <r>
      <rPr>
        <sz val="18"/>
        <rFont val="ＭＳ Ｐゴシック"/>
        <family val="3"/>
        <charset val="128"/>
      </rPr>
      <t>　　　　　　　　　　</t>
    </r>
    <rPh sb="20" eb="22">
      <t>サイタマ</t>
    </rPh>
    <rPh sb="22" eb="23">
      <t>ケン</t>
    </rPh>
    <rPh sb="27" eb="29">
      <t>キョウカイ</t>
    </rPh>
    <rPh sb="40" eb="42">
      <t>リヨウ</t>
    </rPh>
    <rPh sb="42" eb="44">
      <t>キョカ</t>
    </rPh>
    <rPh sb="44" eb="47">
      <t>シンセイショ</t>
    </rPh>
    <phoneticPr fontId="3"/>
  </si>
  <si>
    <r>
      <t xml:space="preserve">利用施設
</t>
    </r>
    <r>
      <rPr>
        <sz val="14"/>
        <rFont val="ＭＳ Ｐゴシック"/>
        <family val="3"/>
        <charset val="128"/>
      </rPr>
      <t>利用希望施設に
○をつけてください</t>
    </r>
    <rPh sb="0" eb="2">
      <t>リヨウ</t>
    </rPh>
    <rPh sb="2" eb="4">
      <t>シセツ</t>
    </rPh>
    <rPh sb="6" eb="8">
      <t>リヨウ</t>
    </rPh>
    <rPh sb="8" eb="10">
      <t>キボウ</t>
    </rPh>
    <rPh sb="10" eb="12">
      <t>シセツ</t>
    </rPh>
    <phoneticPr fontId="3"/>
  </si>
  <si>
    <t>年</t>
    <rPh sb="0" eb="1">
      <t>ネン</t>
    </rPh>
    <phoneticPr fontId="3"/>
  </si>
  <si>
    <t>月</t>
    <rPh sb="0" eb="1">
      <t>ガツ</t>
    </rPh>
    <phoneticPr fontId="3"/>
  </si>
  <si>
    <t>≪　問い合わせ先　≫</t>
    <rPh sb="2" eb="3">
      <t>ト</t>
    </rPh>
    <rPh sb="4" eb="5">
      <t>ア</t>
    </rPh>
    <rPh sb="7" eb="8">
      <t>サキ</t>
    </rPh>
    <phoneticPr fontId="3"/>
  </si>
  <si>
    <t>　　　照明【</t>
    <rPh sb="3" eb="5">
      <t>ショウメイ</t>
    </rPh>
    <phoneticPr fontId="3"/>
  </si>
  <si>
    <t>日</t>
    <rPh sb="0" eb="1">
      <t>ヒ</t>
    </rPh>
    <phoneticPr fontId="3"/>
  </si>
  <si>
    <t>　東側　　　　　   　</t>
    <phoneticPr fontId="3"/>
  </si>
  <si>
    <t>　西側　　　　 　   　</t>
    <rPh sb="1" eb="3">
      <t>ニシガワ</t>
    </rPh>
    <phoneticPr fontId="3"/>
  </si>
  <si>
    <t>【</t>
    <phoneticPr fontId="3"/>
  </si>
  <si>
    <t xml:space="preserve">　トレーニング室　  </t>
    <rPh sb="7" eb="8">
      <t>シツ</t>
    </rPh>
    <phoneticPr fontId="3"/>
  </si>
  <si>
    <t>　剣道場　　　  　 　</t>
    <rPh sb="1" eb="3">
      <t>ケンドウ</t>
    </rPh>
    <rPh sb="3" eb="4">
      <t>ジョウ</t>
    </rPh>
    <phoneticPr fontId="3"/>
  </si>
  <si>
    <t>　卓球場　　　 　  　</t>
    <rPh sb="1" eb="4">
      <t>タッキュウジョウ</t>
    </rPh>
    <phoneticPr fontId="3"/>
  </si>
  <si>
    <t>　柔道場　　 　  　　</t>
    <rPh sb="1" eb="3">
      <t>ジュウドウ</t>
    </rPh>
    <rPh sb="3" eb="4">
      <t>ジョウ</t>
    </rPh>
    <phoneticPr fontId="3"/>
  </si>
  <si>
    <t>　体育室　　 　 　 　</t>
    <rPh sb="1" eb="3">
      <t>タイイク</t>
    </rPh>
    <rPh sb="3" eb="4">
      <t>シツ</t>
    </rPh>
    <phoneticPr fontId="3"/>
  </si>
  <si>
    <t xml:space="preserve">　更衣室単独利用 </t>
    <rPh sb="1" eb="4">
      <t>コウイシツ</t>
    </rPh>
    <rPh sb="4" eb="6">
      <t>タンドク</t>
    </rPh>
    <rPh sb="6" eb="8">
      <t>リヨウ</t>
    </rPh>
    <phoneticPr fontId="3"/>
  </si>
  <si>
    <t>※埼玉県協会登録チームはチーム登録番号を入力、登録外チームは　＊　（全角）を入力してください。</t>
    <rPh sb="20" eb="22">
      <t>ニュウリョク</t>
    </rPh>
    <phoneticPr fontId="3"/>
  </si>
  <si>
    <t>西暦</t>
    <rPh sb="0" eb="2">
      <t>セイレキ</t>
    </rPh>
    <phoneticPr fontId="3"/>
  </si>
  <si>
    <t>※ 照明利用時間は利用当日に最終確認をします。目安をご記入ください。</t>
    <rPh sb="2" eb="4">
      <t>ショウメイ</t>
    </rPh>
    <rPh sb="4" eb="6">
      <t>リヨウ</t>
    </rPh>
    <rPh sb="6" eb="8">
      <t>ジカン</t>
    </rPh>
    <rPh sb="9" eb="11">
      <t>リヨウ</t>
    </rPh>
    <rPh sb="11" eb="13">
      <t>トウジツ</t>
    </rPh>
    <rPh sb="14" eb="16">
      <t>サイシュウ</t>
    </rPh>
    <rPh sb="16" eb="18">
      <t>カクニン</t>
    </rPh>
    <rPh sb="23" eb="25">
      <t>メヤス</t>
    </rPh>
    <rPh sb="27" eb="29">
      <t>キニュウ</t>
    </rPh>
    <phoneticPr fontId="3"/>
  </si>
  <si>
    <t>不可</t>
    <phoneticPr fontId="3"/>
  </si>
  <si>
    <t>可　</t>
    <phoneticPr fontId="3"/>
  </si>
  <si>
    <t>□</t>
    <phoneticPr fontId="3"/>
  </si>
  <si>
    <r>
      <t>*</t>
    </r>
    <r>
      <rPr>
        <sz val="11"/>
        <rFont val="ＭＳ Ｐゴシック"/>
        <family val="3"/>
        <charset val="128"/>
      </rPr>
      <t>該当部分に入力してください</t>
    </r>
    <rPh sb="1" eb="3">
      <t>ガイトウ</t>
    </rPh>
    <rPh sb="3" eb="5">
      <t>ブブン</t>
    </rPh>
    <rPh sb="6" eb="8">
      <t>ニュウリョク</t>
    </rPh>
    <phoneticPr fontId="3"/>
  </si>
  <si>
    <t>　　　　年　　　　月　　　　　日</t>
    <rPh sb="4" eb="5">
      <t>ネン</t>
    </rPh>
    <rPh sb="9" eb="10">
      <t>ガツ</t>
    </rPh>
    <rPh sb="15" eb="16">
      <t>ヒ</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</si>
</sst>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76" formatCode="m/d;@"/>
    <numFmt numFmtId="177" formatCode="#,##0;&quot;▲ &quot;#,##0"/>
    <numFmt numFmtId="178" formatCode="0_ "/>
    <numFmt numFmtId="179" formatCode="m&quot;月&quot;"/>
    <numFmt numFmtId="180" formatCode="#,##0_ ;[Red]\-#,##0\ "/>
    <numFmt numFmtId="181" formatCode="\(#,##0\);[Red]\-#,##0"/>
    <numFmt numFmtId="182" formatCode="&quot;( &quot;#,##0&quot; )&quot;;[Red]\-#,##0"/>
    <numFmt numFmtId="183" formatCode="#,##0;[Red]#,##0"/>
    <numFmt numFmtId="184" formatCode="&quot;　　収入　&quot;\ #,##0;[Red]\-#,##0"/>
    <numFmt numFmtId="185" formatCode="&quot;　　支出　&quot;\ #,##0;[Red]\-#,##0"/>
    <numFmt numFmtId="186" formatCode="&quot;日本協会補助金計&quot;\ #,##0;[Red]\-#,##0"/>
    <numFmt numFmtId="187" formatCode="0000000"/>
    <numFmt numFmtId="188" formatCode="#,##0_);[Red]\(#,##0\)"/>
    <numFmt numFmtId="189" formatCode="0\ 0\ 0\ 0\ 0\ 0\ 0"/>
    <numFmt numFmtId="190" formatCode="\ @"/>
    <numFmt numFmtId="191" formatCode="0\ 0\ 0\ 0"/>
    <numFmt numFmtId="192" formatCode="\ \ yyyy\ \ &quot;年&quot;\ \ m\ \ &quot;月&quot;\ \ d\ \ &quot;日&quot;"/>
  </numFmts>
  <fonts count="121">
    <font>
      <sz val="11"/>
      <name val="ＭＳ Ｐゴシック"/>
      <family val="3"/>
      <charset val="128"/>
    </font>
    <font>
      <sz val="11"/>
      <color theme="1"/>
      <name val="ＭＳ Ｐゴシック"/>
      <family val="2"/>
      <charset val="128"/>
    </font>
    <font>
      <sz val="11"/>
      <name val="ＭＳ Ｐゴシック"/>
      <family val="3"/>
      <charset val="128"/>
    </font>
    <font>
      <sz val="6"/>
      <name val="ＭＳ Ｐゴシック"/>
      <family val="3"/>
      <charset val="128"/>
    </font>
    <font>
      <b/>
      <sz val="11"/>
      <name val="ＭＳ Ｐゴシック"/>
      <family val="3"/>
      <charset val="128"/>
    </font>
    <font>
      <sz val="10"/>
      <name val="ＭＳ Ｐゴシック"/>
      <family val="3"/>
      <charset val="128"/>
    </font>
    <font>
      <sz val="12"/>
      <name val="ＭＳ Ｐゴシック"/>
      <family val="3"/>
      <charset val="128"/>
    </font>
    <font>
      <sz val="14"/>
      <name val="ＭＳ Ｐゴシック"/>
      <family val="3"/>
      <charset val="128"/>
    </font>
    <font>
      <sz val="9"/>
      <name val="ＭＳ Ｐゴシック"/>
      <family val="3"/>
      <charset val="128"/>
    </font>
    <font>
      <b/>
      <sz val="14"/>
      <name val="ＭＳ Ｐゴシック"/>
      <family val="3"/>
      <charset val="128"/>
    </font>
    <font>
      <b/>
      <sz val="10"/>
      <name val="ＭＳ Ｐゴシック"/>
      <family val="3"/>
      <charset val="128"/>
    </font>
    <font>
      <sz val="8"/>
      <name val="ＭＳ Ｐゴシック"/>
      <family val="3"/>
      <charset val="128"/>
    </font>
    <font>
      <sz val="11"/>
      <color indexed="9"/>
      <name val="ＭＳ Ｐゴシック"/>
      <family val="3"/>
      <charset val="128"/>
    </font>
    <font>
      <sz val="11"/>
      <color indexed="10"/>
      <name val="ＭＳ Ｐゴシック"/>
      <family val="3"/>
      <charset val="128"/>
    </font>
    <font>
      <sz val="10"/>
      <color indexed="10"/>
      <name val="ＭＳ Ｐゴシック"/>
      <family val="3"/>
      <charset val="128"/>
    </font>
    <font>
      <u/>
      <sz val="10"/>
      <name val="ＭＳ Ｐゴシック"/>
      <family val="3"/>
      <charset val="128"/>
    </font>
    <font>
      <sz val="10"/>
      <color indexed="55"/>
      <name val="ＭＳ Ｐゴシック"/>
      <family val="3"/>
      <charset val="128"/>
    </font>
    <font>
      <b/>
      <sz val="9"/>
      <name val="ＭＳ Ｐゴシック"/>
      <family val="3"/>
      <charset val="128"/>
    </font>
    <font>
      <sz val="8.5"/>
      <name val="ＭＳ Ｐゴシック"/>
      <family val="3"/>
      <charset val="128"/>
    </font>
    <font>
      <b/>
      <sz val="11.5"/>
      <name val="ＭＳ Ｐゴシック"/>
      <family val="3"/>
      <charset val="128"/>
    </font>
    <font>
      <sz val="13"/>
      <color indexed="12"/>
      <name val="ＭＳ Ｐゴシック"/>
      <family val="3"/>
      <charset val="128"/>
    </font>
    <font>
      <sz val="16"/>
      <color indexed="10"/>
      <name val="ＭＳ Ｐゴシック"/>
      <family val="3"/>
      <charset val="128"/>
    </font>
    <font>
      <b/>
      <sz val="13"/>
      <color indexed="17"/>
      <name val="ＭＳ Ｐゴシック"/>
      <family val="3"/>
      <charset val="128"/>
    </font>
    <font>
      <sz val="16"/>
      <name val="ＭＳ Ｐゴシック"/>
      <family val="3"/>
      <charset val="128"/>
    </font>
    <font>
      <sz val="10"/>
      <color indexed="9"/>
      <name val="ＭＳ Ｐゴシック"/>
      <family val="3"/>
      <charset val="128"/>
    </font>
    <font>
      <sz val="13"/>
      <name val="ＭＳ Ｐゴシック"/>
      <family val="3"/>
      <charset val="128"/>
    </font>
    <font>
      <sz val="9.5"/>
      <name val="ＭＳ Ｐゴシック"/>
      <family val="3"/>
      <charset val="128"/>
    </font>
    <font>
      <b/>
      <sz val="14"/>
      <color indexed="9"/>
      <name val="ＭＳ Ｐゴシック"/>
      <family val="3"/>
      <charset val="128"/>
    </font>
    <font>
      <b/>
      <sz val="10"/>
      <color indexed="9"/>
      <name val="ＭＳ Ｐゴシック"/>
      <family val="3"/>
      <charset val="128"/>
    </font>
    <font>
      <sz val="10.5"/>
      <name val="ＭＳ Ｐゴシック"/>
      <family val="3"/>
      <charset val="128"/>
    </font>
    <font>
      <sz val="10"/>
      <color indexed="22"/>
      <name val="ＭＳ Ｐゴシック"/>
      <family val="3"/>
      <charset val="128"/>
    </font>
    <font>
      <sz val="10"/>
      <color indexed="17"/>
      <name val="ＭＳ Ｐゴシック"/>
      <family val="3"/>
      <charset val="128"/>
    </font>
    <font>
      <i/>
      <sz val="11"/>
      <name val="ＭＳ Ｐゴシック"/>
      <family val="3"/>
      <charset val="128"/>
    </font>
    <font>
      <sz val="13"/>
      <color indexed="17"/>
      <name val="ＭＳ Ｐゴシック"/>
      <family val="3"/>
      <charset val="128"/>
    </font>
    <font>
      <b/>
      <sz val="24"/>
      <name val="ＭＳ Ｐゴシック"/>
      <family val="3"/>
      <charset val="128"/>
    </font>
    <font>
      <sz val="24"/>
      <name val="ＭＳ Ｐゴシック"/>
      <family val="3"/>
      <charset val="128"/>
    </font>
    <font>
      <b/>
      <sz val="8.5"/>
      <name val="ＭＳ Ｐゴシック"/>
      <family val="3"/>
      <charset val="128"/>
    </font>
    <font>
      <sz val="11.5"/>
      <name val="ＭＳ Ｐゴシック"/>
      <family val="3"/>
      <charset val="128"/>
    </font>
    <font>
      <sz val="11"/>
      <color indexed="51"/>
      <name val="ＭＳ Ｐゴシック"/>
      <family val="3"/>
      <charset val="128"/>
    </font>
    <font>
      <sz val="28"/>
      <color indexed="55"/>
      <name val="ＭＳ Ｐゴシック"/>
      <family val="3"/>
      <charset val="128"/>
    </font>
    <font>
      <b/>
      <i/>
      <sz val="16"/>
      <name val="ＭＳ Ｐゴシック"/>
      <family val="3"/>
      <charset val="128"/>
    </font>
    <font>
      <b/>
      <sz val="10"/>
      <color indexed="17"/>
      <name val="ＭＳ Ｐゴシック"/>
      <family val="3"/>
      <charset val="128"/>
    </font>
    <font>
      <sz val="10"/>
      <color indexed="16"/>
      <name val="ＭＳ Ｐゴシック"/>
      <family val="3"/>
      <charset val="128"/>
    </font>
    <font>
      <sz val="10"/>
      <color indexed="61"/>
      <name val="ＭＳ Ｐゴシック"/>
      <family val="3"/>
      <charset val="128"/>
    </font>
    <font>
      <sz val="28"/>
      <name val="ＭＳ Ｐゴシック"/>
      <family val="3"/>
      <charset val="128"/>
    </font>
    <font>
      <sz val="10"/>
      <color indexed="12"/>
      <name val="ＭＳ Ｐゴシック"/>
      <family val="3"/>
      <charset val="128"/>
    </font>
    <font>
      <b/>
      <i/>
      <sz val="14"/>
      <name val="ＭＳ Ｐゴシック"/>
      <family val="3"/>
      <charset val="128"/>
    </font>
    <font>
      <sz val="10.5"/>
      <color indexed="10"/>
      <name val="ＭＳ Ｐゴシック"/>
      <family val="3"/>
      <charset val="128"/>
    </font>
    <font>
      <sz val="14"/>
      <color indexed="10"/>
      <name val="ＭＳ Ｐゴシック"/>
      <family val="3"/>
      <charset val="128"/>
    </font>
    <font>
      <b/>
      <sz val="17"/>
      <name val="ＭＳ Ｐゴシック"/>
      <family val="3"/>
      <charset val="128"/>
    </font>
    <font>
      <i/>
      <sz val="10"/>
      <name val="ＭＳ Ｐゴシック"/>
      <family val="3"/>
      <charset val="128"/>
    </font>
    <font>
      <b/>
      <sz val="14"/>
      <color indexed="10"/>
      <name val="ＭＳ Ｐゴシック"/>
      <family val="3"/>
      <charset val="128"/>
    </font>
    <font>
      <sz val="10"/>
      <color indexed="14"/>
      <name val="ＭＳ Ｐゴシック"/>
      <family val="3"/>
      <charset val="128"/>
    </font>
    <font>
      <u/>
      <sz val="11"/>
      <color indexed="36"/>
      <name val="ＭＳ Ｐゴシック"/>
      <family val="3"/>
      <charset val="128"/>
    </font>
    <font>
      <b/>
      <sz val="16"/>
      <name val="ＭＳ Ｐゴシック"/>
      <family val="3"/>
      <charset val="128"/>
    </font>
    <font>
      <b/>
      <sz val="11.5"/>
      <color indexed="16"/>
      <name val="ＭＳ Ｐゴシック"/>
      <family val="3"/>
      <charset val="128"/>
    </font>
    <font>
      <sz val="18"/>
      <name val="ＭＳ Ｐゴシック"/>
      <family val="3"/>
      <charset val="128"/>
    </font>
    <font>
      <sz val="20"/>
      <name val="ＭＳ Ｐゴシック"/>
      <family val="3"/>
      <charset val="128"/>
    </font>
    <font>
      <sz val="9"/>
      <color indexed="81"/>
      <name val="MS P ゴシック"/>
      <family val="3"/>
      <charset val="128"/>
    </font>
    <font>
      <sz val="14"/>
      <color indexed="81"/>
      <name val="MS P ゴシック"/>
      <family val="3"/>
      <charset val="128"/>
    </font>
    <font>
      <sz val="10"/>
      <color rgb="FF0000CC"/>
      <name val="ＭＳ Ｐゴシック"/>
      <family val="3"/>
      <charset val="128"/>
    </font>
    <font>
      <b/>
      <sz val="13"/>
      <color theme="0"/>
      <name val="ＭＳ Ｐゴシック"/>
      <family val="3"/>
      <charset val="128"/>
    </font>
    <font>
      <sz val="10"/>
      <color theme="0"/>
      <name val="ＭＳ Ｐゴシック"/>
      <family val="3"/>
      <charset val="128"/>
    </font>
    <font>
      <sz val="9"/>
      <color theme="0"/>
      <name val="ＭＳ Ｐゴシック"/>
      <family val="3"/>
      <charset val="128"/>
    </font>
    <font>
      <sz val="14"/>
      <color rgb="FF0000CC"/>
      <name val="ＭＳ Ｐゴシック"/>
      <family val="3"/>
      <charset val="128"/>
    </font>
    <font>
      <b/>
      <i/>
      <sz val="16"/>
      <color rgb="FF0000CC"/>
      <name val="ＭＳ Ｐゴシック"/>
      <family val="3"/>
      <charset val="128"/>
    </font>
    <font>
      <sz val="11"/>
      <color rgb="FF0000CC"/>
      <name val="ＭＳ Ｐゴシック"/>
      <family val="3"/>
      <charset val="128"/>
    </font>
    <font>
      <sz val="11"/>
      <color theme="0" tint="-0.249977111117893"/>
      <name val="ＭＳ Ｐゴシック"/>
      <family val="3"/>
      <charset val="128"/>
    </font>
    <font>
      <sz val="10"/>
      <color theme="0" tint="-0.249977111117893"/>
      <name val="ＭＳ Ｐゴシック"/>
      <family val="3"/>
      <charset val="128"/>
    </font>
    <font>
      <sz val="9"/>
      <color theme="0" tint="-0.249977111117893"/>
      <name val="ＭＳ Ｐゴシック"/>
      <family val="3"/>
      <charset val="128"/>
    </font>
    <font>
      <sz val="14"/>
      <color theme="0" tint="-0.249977111117893"/>
      <name val="ＭＳ Ｐゴシック"/>
      <family val="3"/>
      <charset val="128"/>
    </font>
    <font>
      <sz val="13"/>
      <color theme="0" tint="-0.249977111117893"/>
      <name val="ＭＳ Ｐゴシック"/>
      <family val="3"/>
      <charset val="128"/>
    </font>
    <font>
      <sz val="8"/>
      <color theme="0" tint="-0.249977111117893"/>
      <name val="ＭＳ Ｐゴシック"/>
      <family val="3"/>
      <charset val="128"/>
    </font>
    <font>
      <sz val="8.5"/>
      <color theme="0" tint="-0.249977111117893"/>
      <name val="ＭＳ Ｐゴシック"/>
      <family val="3"/>
      <charset val="128"/>
    </font>
    <font>
      <b/>
      <i/>
      <sz val="16"/>
      <color theme="0" tint="-0.249977111117893"/>
      <name val="ＭＳ Ｐゴシック"/>
      <family val="3"/>
      <charset val="128"/>
    </font>
    <font>
      <b/>
      <sz val="14"/>
      <color theme="0" tint="-0.249977111117893"/>
      <name val="ＭＳ Ｐゴシック"/>
      <family val="3"/>
      <charset val="128"/>
    </font>
    <font>
      <b/>
      <sz val="24"/>
      <color theme="0" tint="-0.249977111117893"/>
      <name val="ＭＳ Ｐゴシック"/>
      <family val="3"/>
      <charset val="128"/>
    </font>
    <font>
      <b/>
      <sz val="10"/>
      <color theme="0" tint="-0.249977111117893"/>
      <name val="ＭＳ Ｐゴシック"/>
      <family val="3"/>
      <charset val="128"/>
    </font>
    <font>
      <sz val="9.5"/>
      <color theme="0" tint="-0.249977111117893"/>
      <name val="ＭＳ Ｐゴシック"/>
      <family val="3"/>
      <charset val="128"/>
    </font>
    <font>
      <sz val="28"/>
      <color theme="0" tint="-0.249977111117893"/>
      <name val="ＭＳ Ｐゴシック"/>
      <family val="3"/>
      <charset val="128"/>
    </font>
    <font>
      <sz val="9"/>
      <color theme="1" tint="0.499984740745262"/>
      <name val="ＭＳ Ｐゴシック"/>
      <family val="3"/>
      <charset val="128"/>
    </font>
    <font>
      <sz val="10"/>
      <color theme="1" tint="0.499984740745262"/>
      <name val="ＭＳ Ｐゴシック"/>
      <family val="3"/>
      <charset val="128"/>
    </font>
    <font>
      <sz val="11"/>
      <color theme="1" tint="0.499984740745262"/>
      <name val="ＭＳ Ｐゴシック"/>
      <family val="3"/>
      <charset val="128"/>
    </font>
    <font>
      <sz val="8"/>
      <color theme="1" tint="0.499984740745262"/>
      <name val="ＭＳ Ｐゴシック"/>
      <family val="3"/>
      <charset val="128"/>
    </font>
    <font>
      <b/>
      <i/>
      <sz val="16"/>
      <color theme="1" tint="0.499984740745262"/>
      <name val="ＭＳ Ｐゴシック"/>
      <family val="3"/>
      <charset val="128"/>
    </font>
    <font>
      <b/>
      <sz val="14"/>
      <color theme="1" tint="0.499984740745262"/>
      <name val="ＭＳ Ｐゴシック"/>
      <family val="3"/>
      <charset val="128"/>
    </font>
    <font>
      <sz val="13"/>
      <color theme="1" tint="0.499984740745262"/>
      <name val="ＭＳ Ｐゴシック"/>
      <family val="3"/>
      <charset val="128"/>
    </font>
    <font>
      <sz val="9.5"/>
      <color theme="1" tint="0.499984740745262"/>
      <name val="ＭＳ Ｐゴシック"/>
      <family val="3"/>
      <charset val="128"/>
    </font>
    <font>
      <sz val="14"/>
      <color theme="1" tint="0.499984740745262"/>
      <name val="ＭＳ Ｐゴシック"/>
      <family val="3"/>
      <charset val="128"/>
    </font>
    <font>
      <sz val="9.5"/>
      <color theme="0"/>
      <name val="ＭＳ Ｐゴシック"/>
      <family val="3"/>
      <charset val="128"/>
    </font>
    <font>
      <sz val="24"/>
      <color theme="0"/>
      <name val="ＭＳ Ｐゴシック"/>
      <family val="3"/>
      <charset val="128"/>
    </font>
    <font>
      <i/>
      <sz val="10"/>
      <color theme="0" tint="-0.249977111117893"/>
      <name val="ＭＳ Ｐゴシック"/>
      <family val="3"/>
      <charset val="128"/>
    </font>
    <font>
      <b/>
      <sz val="9.5"/>
      <color theme="0" tint="-0.249977111117893"/>
      <name val="ＭＳ Ｐゴシック"/>
      <family val="3"/>
      <charset val="128"/>
    </font>
    <font>
      <sz val="24"/>
      <color theme="0" tint="-0.249977111117893"/>
      <name val="ＭＳ Ｐゴシック"/>
      <family val="3"/>
      <charset val="128"/>
    </font>
    <font>
      <sz val="11"/>
      <color theme="3" tint="-0.249977111117893"/>
      <name val="ＭＳ Ｐゴシック"/>
      <family val="3"/>
      <charset val="128"/>
    </font>
    <font>
      <b/>
      <sz val="14"/>
      <color rgb="FF003300"/>
      <name val="ＭＳ Ｐゴシック"/>
      <family val="3"/>
      <charset val="128"/>
    </font>
    <font>
      <sz val="16"/>
      <color rgb="FF0000CC"/>
      <name val="ＭＳ Ｐゴシック"/>
      <family val="3"/>
      <charset val="128"/>
    </font>
    <font>
      <sz val="11"/>
      <color theme="0"/>
      <name val="ＭＳ Ｐゴシック"/>
      <family val="3"/>
      <charset val="128"/>
    </font>
    <font>
      <b/>
      <sz val="11.5"/>
      <color theme="0"/>
      <name val="ＭＳ Ｐゴシック"/>
      <family val="3"/>
      <charset val="128"/>
    </font>
    <font>
      <b/>
      <sz val="10"/>
      <color theme="0"/>
      <name val="ＭＳ Ｐゴシック"/>
      <family val="3"/>
      <charset val="128"/>
    </font>
    <font>
      <sz val="10"/>
      <color rgb="FFFF0000"/>
      <name val="ＭＳ Ｐゴシック"/>
      <family val="3"/>
      <charset val="128"/>
    </font>
    <font>
      <sz val="8.5"/>
      <color theme="1" tint="0.499984740745262"/>
      <name val="ＭＳ Ｐゴシック"/>
      <family val="3"/>
      <charset val="128"/>
    </font>
    <font>
      <b/>
      <i/>
      <sz val="10"/>
      <name val="ＭＳ Ｐゴシック"/>
      <family val="3"/>
      <charset val="128"/>
    </font>
    <font>
      <b/>
      <i/>
      <sz val="10"/>
      <color indexed="9"/>
      <name val="ＭＳ Ｐゴシック"/>
      <family val="3"/>
      <charset val="128"/>
    </font>
    <font>
      <b/>
      <sz val="20"/>
      <color indexed="9"/>
      <name val="ＭＳ Ｐゴシック"/>
      <family val="3"/>
      <charset val="128"/>
    </font>
    <font>
      <b/>
      <sz val="20"/>
      <color rgb="FF0000CC"/>
      <name val="ＭＳ Ｐゴシック"/>
      <family val="3"/>
      <charset val="128"/>
    </font>
    <font>
      <b/>
      <sz val="20"/>
      <name val="ＭＳ Ｐゴシック"/>
      <family val="3"/>
      <charset val="128"/>
    </font>
    <font>
      <i/>
      <sz val="14"/>
      <name val="ＭＳ Ｐゴシック"/>
      <family val="3"/>
      <charset val="128"/>
    </font>
    <font>
      <i/>
      <sz val="13"/>
      <name val="ＭＳ Ｐゴシック"/>
      <family val="3"/>
      <charset val="128"/>
    </font>
    <font>
      <sz val="10.5"/>
      <color theme="0" tint="-0.249977111117893"/>
      <name val="ＭＳ Ｐゴシック"/>
      <family val="3"/>
      <charset val="128"/>
    </font>
    <font>
      <b/>
      <sz val="20"/>
      <color theme="0" tint="-0.249977111117893"/>
      <name val="ＭＳ Ｐゴシック"/>
      <family val="3"/>
      <charset val="128"/>
    </font>
    <font>
      <sz val="10.5"/>
      <color theme="1" tint="0.499984740745262"/>
      <name val="ＭＳ Ｐゴシック"/>
      <family val="3"/>
      <charset val="128"/>
    </font>
    <font>
      <b/>
      <sz val="16"/>
      <color rgb="FF0000CC"/>
      <name val="ＭＳ Ｐゴシック"/>
      <family val="3"/>
      <charset val="128"/>
    </font>
    <font>
      <b/>
      <i/>
      <sz val="10"/>
      <color indexed="12"/>
      <name val="ＭＳ Ｐゴシック"/>
      <family val="3"/>
      <charset val="128"/>
    </font>
    <font>
      <b/>
      <i/>
      <sz val="11"/>
      <name val="ＭＳ Ｐゴシック"/>
      <family val="3"/>
      <charset val="128"/>
    </font>
    <font>
      <b/>
      <i/>
      <sz val="10"/>
      <color theme="0"/>
      <name val="ＭＳ Ｐゴシック"/>
      <family val="3"/>
      <charset val="128"/>
    </font>
    <font>
      <sz val="20"/>
      <color theme="0"/>
      <name val="ＭＳ Ｐゴシック"/>
      <family val="3"/>
      <charset val="128"/>
    </font>
    <font>
      <sz val="20"/>
      <color indexed="9"/>
      <name val="ＭＳ Ｐゴシック"/>
      <family val="3"/>
      <charset val="128"/>
    </font>
    <font>
      <b/>
      <sz val="18"/>
      <name val="ＭＳ Ｐゴシック"/>
      <family val="3"/>
      <charset val="128"/>
    </font>
    <font>
      <b/>
      <sz val="22"/>
      <name val="ＭＳ Ｐゴシック"/>
      <family val="3"/>
      <charset val="128"/>
    </font>
    <font>
      <b/>
      <sz val="18"/>
      <color rgb="FFFF0000"/>
      <name val="ＭＳ Ｐゴシック"/>
      <family val="3"/>
      <charset val="128"/>
    </font>
  </fonts>
  <fills count="20">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indexed="63"/>
        <bgColor indexed="64"/>
      </patternFill>
    </fill>
    <fill>
      <patternFill patternType="solid">
        <fgColor indexed="42"/>
        <bgColor indexed="64"/>
      </patternFill>
    </fill>
    <fill>
      <patternFill patternType="solid">
        <fgColor theme="0"/>
        <bgColor indexed="64"/>
      </patternFill>
    </fill>
    <fill>
      <patternFill patternType="solid">
        <fgColor rgb="FFCC99FF"/>
        <bgColor indexed="64"/>
      </patternFill>
    </fill>
    <fill>
      <patternFill patternType="solid">
        <fgColor theme="7"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4" tint="0.59999389629810485"/>
        <bgColor indexed="64"/>
      </patternFill>
    </fill>
    <fill>
      <patternFill patternType="solid">
        <fgColor theme="2" tint="-0.249977111117893"/>
        <bgColor indexed="64"/>
      </patternFill>
    </fill>
    <fill>
      <patternFill patternType="solid">
        <fgColor rgb="FFFFFFCC"/>
        <bgColor indexed="64"/>
      </patternFill>
    </fill>
    <fill>
      <patternFill patternType="solid">
        <fgColor theme="0" tint="-0.34998626667073579"/>
        <bgColor indexed="64"/>
      </patternFill>
    </fill>
  </fills>
  <borders count="154">
    <border>
      <left/>
      <right/>
      <top/>
      <bottom/>
      <diagonal/>
    </border>
    <border>
      <left style="hair">
        <color indexed="64"/>
      </left>
      <right/>
      <top/>
      <bottom style="medium">
        <color indexed="64"/>
      </bottom>
      <diagonal/>
    </border>
    <border>
      <left style="hair">
        <color indexed="64"/>
      </left>
      <right style="hair">
        <color indexed="64"/>
      </right>
      <top/>
      <bottom style="medium">
        <color indexed="64"/>
      </bottom>
      <diagonal/>
    </border>
    <border>
      <left style="double">
        <color indexed="64"/>
      </left>
      <right style="hair">
        <color indexed="64"/>
      </right>
      <top/>
      <bottom style="medium">
        <color indexed="64"/>
      </bottom>
      <diagonal/>
    </border>
    <border>
      <left/>
      <right/>
      <top/>
      <bottom style="medium">
        <color indexed="64"/>
      </bottom>
      <diagonal/>
    </border>
    <border>
      <left style="double">
        <color indexed="64"/>
      </left>
      <right style="double">
        <color indexed="64"/>
      </right>
      <top/>
      <bottom style="medium">
        <color indexed="64"/>
      </bottom>
      <diagonal/>
    </border>
    <border>
      <left style="double">
        <color indexed="64"/>
      </left>
      <right/>
      <top style="double">
        <color indexed="64"/>
      </top>
      <bottom style="medium">
        <color indexed="64"/>
      </bottom>
      <diagonal/>
    </border>
    <border>
      <left style="double">
        <color indexed="64"/>
      </left>
      <right style="thin">
        <color indexed="64"/>
      </right>
      <top/>
      <bottom style="medium">
        <color indexed="64"/>
      </bottom>
      <diagonal/>
    </border>
    <border>
      <left style="double">
        <color indexed="64"/>
      </left>
      <right/>
      <top/>
      <bottom style="medium">
        <color indexed="64"/>
      </bottom>
      <diagonal/>
    </border>
    <border>
      <left style="mediumDashed">
        <color indexed="64"/>
      </left>
      <right style="mediumDashed">
        <color indexed="64"/>
      </right>
      <top/>
      <bottom style="medium">
        <color indexed="64"/>
      </bottom>
      <diagonal/>
    </border>
    <border>
      <left style="dashDotDot">
        <color indexed="64"/>
      </left>
      <right style="dashDotDot">
        <color indexed="64"/>
      </right>
      <top/>
      <bottom style="medium">
        <color indexed="64"/>
      </bottom>
      <diagonal/>
    </border>
    <border>
      <left style="dashDotDot">
        <color indexed="64"/>
      </left>
      <right/>
      <top/>
      <bottom style="medium">
        <color indexed="64"/>
      </bottom>
      <diagonal/>
    </border>
    <border>
      <left style="double">
        <color indexed="64"/>
      </left>
      <right style="double">
        <color indexed="64"/>
      </right>
      <top/>
      <bottom style="thin">
        <color indexed="64"/>
      </bottom>
      <diagonal/>
    </border>
    <border>
      <left/>
      <right/>
      <top/>
      <bottom style="thin">
        <color indexed="64"/>
      </bottom>
      <diagonal/>
    </border>
    <border>
      <left style="dashDotDot">
        <color indexed="64"/>
      </left>
      <right style="hair">
        <color indexed="64"/>
      </right>
      <top/>
      <bottom style="thin">
        <color indexed="64"/>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double">
        <color indexed="64"/>
      </left>
      <right style="double">
        <color indexed="64"/>
      </right>
      <top style="thin">
        <color indexed="64"/>
      </top>
      <bottom style="hair">
        <color indexed="64"/>
      </bottom>
      <diagonal/>
    </border>
    <border>
      <left/>
      <right/>
      <top style="thin">
        <color indexed="64"/>
      </top>
      <bottom style="hair">
        <color indexed="64"/>
      </bottom>
      <diagonal/>
    </border>
    <border>
      <left style="dashDotDot">
        <color indexed="64"/>
      </left>
      <right style="hair">
        <color indexed="64"/>
      </right>
      <top style="thin">
        <color indexed="64"/>
      </top>
      <bottom style="hair">
        <color indexed="64"/>
      </bottom>
      <diagonal/>
    </border>
    <border>
      <left style="double">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right/>
      <top style="hair">
        <color indexed="64"/>
      </top>
      <bottom style="hair">
        <color indexed="64"/>
      </bottom>
      <diagonal/>
    </border>
    <border>
      <left style="double">
        <color indexed="64"/>
      </left>
      <right style="double">
        <color indexed="64"/>
      </right>
      <top style="hair">
        <color indexed="64"/>
      </top>
      <bottom style="hair">
        <color indexed="64"/>
      </bottom>
      <diagonal/>
    </border>
    <border>
      <left style="double">
        <color indexed="64"/>
      </left>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style="mediumDashed">
        <color indexed="64"/>
      </left>
      <right style="mediumDashed">
        <color indexed="64"/>
      </right>
      <top style="hair">
        <color indexed="64"/>
      </top>
      <bottom style="hair">
        <color indexed="64"/>
      </bottom>
      <diagonal/>
    </border>
    <border>
      <left style="dashDotDot">
        <color indexed="64"/>
      </left>
      <right style="dashDotDot">
        <color indexed="64"/>
      </right>
      <top style="hair">
        <color indexed="64"/>
      </top>
      <bottom style="hair">
        <color indexed="64"/>
      </bottom>
      <diagonal/>
    </border>
    <border>
      <left style="dashDotDot">
        <color indexed="64"/>
      </left>
      <right/>
      <top style="hair">
        <color indexed="64"/>
      </top>
      <bottom style="hair">
        <color indexed="64"/>
      </bottom>
      <diagonal/>
    </border>
    <border>
      <left/>
      <right style="double">
        <color indexed="64"/>
      </right>
      <top style="hair">
        <color indexed="64"/>
      </top>
      <bottom style="hair">
        <color indexed="64"/>
      </bottom>
      <diagonal/>
    </border>
    <border>
      <left style="hair">
        <color indexed="64"/>
      </left>
      <right style="hair">
        <color indexed="64"/>
      </right>
      <top/>
      <bottom style="hair">
        <color indexed="64"/>
      </bottom>
      <diagonal/>
    </border>
    <border>
      <left/>
      <right style="medium">
        <color indexed="64"/>
      </right>
      <top style="hair">
        <color indexed="64"/>
      </top>
      <bottom style="hair">
        <color indexed="64"/>
      </bottom>
      <diagonal/>
    </border>
    <border>
      <left style="mediumDashed">
        <color indexed="64"/>
      </left>
      <right style="mediumDashed">
        <color indexed="64"/>
      </right>
      <top/>
      <bottom style="hair">
        <color indexed="64"/>
      </bottom>
      <diagonal/>
    </border>
    <border>
      <left style="dashDotDot">
        <color indexed="64"/>
      </left>
      <right style="hair">
        <color indexed="64"/>
      </right>
      <top style="hair">
        <color indexed="64"/>
      </top>
      <bottom style="hair">
        <color indexed="64"/>
      </bottom>
      <diagonal/>
    </border>
    <border>
      <left style="thin">
        <color indexed="64"/>
      </left>
      <right style="double">
        <color indexed="64"/>
      </right>
      <top style="hair">
        <color indexed="64"/>
      </top>
      <bottom style="hair">
        <color indexed="64"/>
      </bottom>
      <diagonal/>
    </border>
    <border>
      <left/>
      <right/>
      <top/>
      <bottom style="hair">
        <color indexed="64"/>
      </bottom>
      <diagonal/>
    </border>
    <border>
      <left style="double">
        <color indexed="64"/>
      </left>
      <right style="thin">
        <color indexed="64"/>
      </right>
      <top/>
      <bottom style="hair">
        <color indexed="64"/>
      </bottom>
      <diagonal/>
    </border>
    <border>
      <left/>
      <right style="double">
        <color indexed="64"/>
      </right>
      <top/>
      <bottom style="hair">
        <color indexed="64"/>
      </bottom>
      <diagonal/>
    </border>
    <border>
      <left style="double">
        <color indexed="64"/>
      </left>
      <right style="double">
        <color indexed="64"/>
      </right>
      <top style="hair">
        <color indexed="64"/>
      </top>
      <bottom/>
      <diagonal/>
    </border>
    <border>
      <left style="mediumDashDot">
        <color indexed="64"/>
      </left>
      <right style="mediumDashDot">
        <color indexed="64"/>
      </right>
      <top style="mediumDashDot">
        <color indexed="64"/>
      </top>
      <bottom style="mediumDashDot">
        <color indexed="64"/>
      </bottom>
      <diagonal/>
    </border>
    <border>
      <left style="double">
        <color indexed="64"/>
      </left>
      <right/>
      <top style="hair">
        <color indexed="64"/>
      </top>
      <bottom/>
      <diagonal/>
    </border>
    <border>
      <left style="double">
        <color indexed="64"/>
      </left>
      <right style="thin">
        <color indexed="64"/>
      </right>
      <top style="hair">
        <color indexed="64"/>
      </top>
      <bottom/>
      <diagonal/>
    </border>
    <border>
      <left/>
      <right/>
      <top style="hair">
        <color indexed="64"/>
      </top>
      <bottom/>
      <diagonal/>
    </border>
    <border>
      <left style="hair">
        <color indexed="64"/>
      </left>
      <right/>
      <top style="hair">
        <color indexed="64"/>
      </top>
      <bottom/>
      <diagonal/>
    </border>
    <border>
      <left style="hair">
        <color indexed="64"/>
      </left>
      <right style="hair">
        <color indexed="64"/>
      </right>
      <top style="hair">
        <color indexed="64"/>
      </top>
      <bottom/>
      <diagonal/>
    </border>
    <border>
      <left style="double">
        <color indexed="64"/>
      </left>
      <right style="hair">
        <color indexed="64"/>
      </right>
      <top style="hair">
        <color indexed="64"/>
      </top>
      <bottom/>
      <diagonal/>
    </border>
    <border>
      <left style="dashDotDot">
        <color indexed="64"/>
      </left>
      <right/>
      <top style="hair">
        <color indexed="64"/>
      </top>
      <bottom/>
      <diagonal/>
    </border>
    <border>
      <left/>
      <right style="double">
        <color indexed="64"/>
      </right>
      <top style="hair">
        <color indexed="64"/>
      </top>
      <bottom/>
      <diagonal/>
    </border>
    <border>
      <left style="dashDotDot">
        <color indexed="64"/>
      </left>
      <right style="hair">
        <color indexed="64"/>
      </right>
      <top style="hair">
        <color indexed="64"/>
      </top>
      <bottom/>
      <diagonal/>
    </border>
    <border>
      <left style="thin">
        <color indexed="64"/>
      </left>
      <right style="double">
        <color indexed="64"/>
      </right>
      <top style="hair">
        <color indexed="64"/>
      </top>
      <bottom/>
      <diagonal/>
    </border>
    <border>
      <left style="hair">
        <color indexed="64"/>
      </left>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hair">
        <color indexed="64"/>
      </right>
      <top style="medium">
        <color indexed="64"/>
      </top>
      <bottom style="medium">
        <color indexed="64"/>
      </bottom>
      <diagonal/>
    </border>
    <border>
      <left/>
      <right/>
      <top style="medium">
        <color indexed="64"/>
      </top>
      <bottom style="medium">
        <color indexed="64"/>
      </bottom>
      <diagonal/>
    </border>
    <border>
      <left style="double">
        <color indexed="64"/>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style="mediumDashed">
        <color indexed="64"/>
      </left>
      <right style="mediumDashed">
        <color indexed="64"/>
      </right>
      <top style="medium">
        <color indexed="64"/>
      </top>
      <bottom style="medium">
        <color indexed="64"/>
      </bottom>
      <diagonal/>
    </border>
    <border>
      <left style="dashDotDot">
        <color indexed="64"/>
      </left>
      <right style="dashDotDot">
        <color indexed="64"/>
      </right>
      <top style="medium">
        <color indexed="64"/>
      </top>
      <bottom style="medium">
        <color indexed="64"/>
      </bottom>
      <diagonal/>
    </border>
    <border>
      <left style="dashDotDot">
        <color indexed="64"/>
      </left>
      <right/>
      <top style="medium">
        <color indexed="64"/>
      </top>
      <bottom style="medium">
        <color indexed="64"/>
      </bottom>
      <diagonal/>
    </border>
    <border>
      <left/>
      <right style="double">
        <color indexed="64"/>
      </right>
      <top style="medium">
        <color indexed="64"/>
      </top>
      <bottom style="medium">
        <color indexed="64"/>
      </bottom>
      <diagonal/>
    </border>
    <border>
      <left style="dashDotDot">
        <color indexed="64"/>
      </left>
      <right style="hair">
        <color indexed="64"/>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style="hair">
        <color indexed="64"/>
      </left>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double">
        <color indexed="64"/>
      </left>
      <right style="hair">
        <color indexed="64"/>
      </right>
      <top style="medium">
        <color indexed="64"/>
      </top>
      <bottom style="hair">
        <color indexed="64"/>
      </bottom>
      <diagonal/>
    </border>
    <border>
      <left/>
      <right/>
      <top style="medium">
        <color indexed="64"/>
      </top>
      <bottom style="hair">
        <color indexed="64"/>
      </bottom>
      <diagonal/>
    </border>
    <border>
      <left style="double">
        <color indexed="64"/>
      </left>
      <right style="double">
        <color indexed="64"/>
      </right>
      <top/>
      <bottom style="hair">
        <color indexed="64"/>
      </bottom>
      <diagonal/>
    </border>
    <border>
      <left style="double">
        <color indexed="64"/>
      </left>
      <right style="thin">
        <color indexed="64"/>
      </right>
      <top style="medium">
        <color indexed="64"/>
      </top>
      <bottom style="hair">
        <color indexed="64"/>
      </bottom>
      <diagonal/>
    </border>
    <border>
      <left style="double">
        <color indexed="64"/>
      </left>
      <right style="double">
        <color indexed="64"/>
      </right>
      <top style="medium">
        <color indexed="64"/>
      </top>
      <bottom style="hair">
        <color indexed="64"/>
      </bottom>
      <diagonal/>
    </border>
    <border>
      <left style="double">
        <color indexed="64"/>
      </left>
      <right/>
      <top style="medium">
        <color indexed="64"/>
      </top>
      <bottom style="hair">
        <color indexed="64"/>
      </bottom>
      <diagonal/>
    </border>
    <border>
      <left style="mediumDashed">
        <color indexed="64"/>
      </left>
      <right style="mediumDashed">
        <color indexed="64"/>
      </right>
      <top style="medium">
        <color indexed="64"/>
      </top>
      <bottom style="hair">
        <color indexed="64"/>
      </bottom>
      <diagonal/>
    </border>
    <border>
      <left style="dashDotDot">
        <color indexed="64"/>
      </left>
      <right/>
      <top style="medium">
        <color indexed="64"/>
      </top>
      <bottom style="hair">
        <color indexed="64"/>
      </bottom>
      <diagonal/>
    </border>
    <border>
      <left/>
      <right style="double">
        <color indexed="64"/>
      </right>
      <top style="medium">
        <color indexed="64"/>
      </top>
      <bottom style="hair">
        <color indexed="64"/>
      </bottom>
      <diagonal/>
    </border>
    <border>
      <left style="dashDotDot">
        <color indexed="64"/>
      </left>
      <right style="hair">
        <color indexed="64"/>
      </right>
      <top/>
      <bottom style="hair">
        <color indexed="64"/>
      </bottom>
      <diagonal/>
    </border>
    <border>
      <left style="thin">
        <color indexed="64"/>
      </left>
      <right style="double">
        <color indexed="64"/>
      </right>
      <top/>
      <bottom style="hair">
        <color indexed="64"/>
      </bottom>
      <diagonal/>
    </border>
    <border>
      <left style="dashDotDot">
        <color indexed="64"/>
      </left>
      <right style="dashDotDot">
        <color indexed="64"/>
      </right>
      <top style="medium">
        <color indexed="64"/>
      </top>
      <bottom style="hair">
        <color indexed="64"/>
      </bottom>
      <diagonal/>
    </border>
    <border>
      <left style="dashDotDot">
        <color indexed="64"/>
      </left>
      <right style="dashDotDot">
        <color indexed="64"/>
      </right>
      <top/>
      <bottom style="hair">
        <color indexed="64"/>
      </bottom>
      <diagonal/>
    </border>
    <border>
      <left style="dashDotDot">
        <color indexed="64"/>
      </left>
      <right style="dashDotDot">
        <color indexed="64"/>
      </right>
      <top style="hair">
        <color indexed="64"/>
      </top>
      <bottom style="medium">
        <color indexed="64"/>
      </bottom>
      <diagonal/>
    </border>
    <border>
      <left style="medium">
        <color indexed="64"/>
      </left>
      <right style="medium">
        <color indexed="64"/>
      </right>
      <top style="medium">
        <color indexed="64"/>
      </top>
      <bottom style="medium">
        <color indexed="64"/>
      </bottom>
      <diagonal/>
    </border>
    <border>
      <left style="double">
        <color indexed="64"/>
      </left>
      <right style="mediumDashed">
        <color indexed="64"/>
      </right>
      <top style="medium">
        <color indexed="64"/>
      </top>
      <bottom style="medium">
        <color indexed="64"/>
      </bottom>
      <diagonal/>
    </border>
    <border>
      <left style="double">
        <color indexed="64"/>
      </left>
      <right/>
      <top/>
      <bottom style="hair">
        <color indexed="64"/>
      </bottom>
      <diagonal/>
    </border>
    <border>
      <left style="medium">
        <color indexed="64"/>
      </left>
      <right style="medium">
        <color indexed="64"/>
      </right>
      <top/>
      <bottom/>
      <diagonal/>
    </border>
    <border>
      <left style="double">
        <color indexed="64"/>
      </left>
      <right style="hair">
        <color indexed="64"/>
      </right>
      <top/>
      <bottom style="hair">
        <color indexed="64"/>
      </bottom>
      <diagonal/>
    </border>
    <border>
      <left/>
      <right/>
      <top/>
      <bottom style="double">
        <color indexed="64"/>
      </bottom>
      <diagonal/>
    </border>
    <border>
      <left style="double">
        <color indexed="64"/>
      </left>
      <right style="double">
        <color indexed="64"/>
      </right>
      <top/>
      <bottom style="double">
        <color indexed="64"/>
      </bottom>
      <diagonal/>
    </border>
    <border>
      <left style="thin">
        <color indexed="64"/>
      </left>
      <right style="double">
        <color indexed="64"/>
      </right>
      <top/>
      <bottom style="double">
        <color indexed="64"/>
      </bottom>
      <diagonal/>
    </border>
    <border>
      <left style="double">
        <color indexed="64"/>
      </left>
      <right style="thin">
        <color indexed="64"/>
      </right>
      <top/>
      <bottom style="double">
        <color indexed="64"/>
      </bottom>
      <diagonal/>
    </border>
    <border>
      <left style="dashDotDot">
        <color indexed="64"/>
      </left>
      <right style="hair">
        <color indexed="64"/>
      </right>
      <top/>
      <bottom style="double">
        <color indexed="64"/>
      </bottom>
      <diagonal/>
    </border>
    <border>
      <left style="hair">
        <color indexed="64"/>
      </left>
      <right/>
      <top/>
      <bottom/>
      <diagonal/>
    </border>
    <border>
      <left style="hair">
        <color indexed="64"/>
      </left>
      <right style="hair">
        <color indexed="64"/>
      </right>
      <top/>
      <bottom/>
      <diagonal/>
    </border>
    <border>
      <left style="double">
        <color indexed="64"/>
      </left>
      <right style="hair">
        <color indexed="64"/>
      </right>
      <top/>
      <bottom/>
      <diagonal/>
    </border>
    <border>
      <left style="double">
        <color indexed="64"/>
      </left>
      <right style="double">
        <color indexed="64"/>
      </right>
      <top/>
      <bottom/>
      <diagonal/>
    </border>
    <border>
      <left style="double">
        <color indexed="64"/>
      </left>
      <right/>
      <top/>
      <bottom/>
      <diagonal/>
    </border>
    <border>
      <left style="double">
        <color indexed="64"/>
      </left>
      <right style="thin">
        <color indexed="64"/>
      </right>
      <top/>
      <bottom/>
      <diagonal/>
    </border>
    <border>
      <left/>
      <right style="double">
        <color indexed="64"/>
      </right>
      <top/>
      <bottom/>
      <diagonal/>
    </border>
    <border>
      <left style="mediumDashed">
        <color indexed="64"/>
      </left>
      <right style="mediumDashed">
        <color indexed="64"/>
      </right>
      <top/>
      <bottom/>
      <diagonal/>
    </border>
    <border>
      <left style="dashDotDot">
        <color indexed="64"/>
      </left>
      <right/>
      <top/>
      <bottom/>
      <diagonal/>
    </border>
    <border>
      <left style="hair">
        <color indexed="64"/>
      </left>
      <right/>
      <top/>
      <bottom style="hair">
        <color indexed="64"/>
      </bottom>
      <diagonal/>
    </border>
    <border>
      <left style="dashDotDot">
        <color indexed="64"/>
      </left>
      <right/>
      <top/>
      <bottom style="hair">
        <color indexed="64"/>
      </bottom>
      <diagonal/>
    </border>
    <border>
      <left/>
      <right style="dashDotDot">
        <color indexed="64"/>
      </right>
      <top style="hair">
        <color indexed="64"/>
      </top>
      <bottom style="hair">
        <color indexed="64"/>
      </bottom>
      <diagonal/>
    </border>
    <border>
      <left style="thin">
        <color indexed="64"/>
      </left>
      <right/>
      <top style="thin">
        <color indexed="64"/>
      </top>
      <bottom style="thin">
        <color indexed="64"/>
      </bottom>
      <diagonal/>
    </border>
    <border>
      <left style="double">
        <color indexed="64"/>
      </left>
      <right style="double">
        <color indexed="64"/>
      </right>
      <top style="hair">
        <color indexed="64"/>
      </top>
      <bottom style="medium">
        <color indexed="64"/>
      </bottom>
      <diagonal/>
    </border>
    <border>
      <left style="double">
        <color indexed="64"/>
      </left>
      <right/>
      <top style="hair">
        <color indexed="64"/>
      </top>
      <bottom style="medium">
        <color indexed="64"/>
      </bottom>
      <diagonal/>
    </border>
    <border>
      <left style="thin">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style="thin">
        <color indexed="64"/>
      </left>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style="medium">
        <color indexed="64"/>
      </left>
      <right style="thin">
        <color indexed="64"/>
      </right>
      <top style="thin">
        <color indexed="64"/>
      </top>
      <bottom style="medium">
        <color indexed="64"/>
      </bottom>
      <diagonal/>
    </border>
    <border>
      <left/>
      <right style="double">
        <color indexed="64"/>
      </right>
      <top/>
      <bottom style="medium">
        <color indexed="64"/>
      </bottom>
      <diagonal/>
    </border>
    <border>
      <left style="dashDot">
        <color indexed="64"/>
      </left>
      <right style="dashDot">
        <color indexed="64"/>
      </right>
      <top style="dashDot">
        <color indexed="64"/>
      </top>
      <bottom style="dashDot">
        <color indexed="64"/>
      </bottom>
      <diagonal/>
    </border>
    <border>
      <left style="double">
        <color indexed="64"/>
      </left>
      <right style="mediumDashed">
        <color indexed="64"/>
      </right>
      <top style="hair">
        <color indexed="64"/>
      </top>
      <bottom style="hair">
        <color indexed="64"/>
      </bottom>
      <diagonal/>
    </border>
    <border>
      <left style="dashDotDot">
        <color indexed="64"/>
      </left>
      <right style="hair">
        <color indexed="64"/>
      </right>
      <top/>
      <bottom/>
      <diagonal/>
    </border>
    <border>
      <left style="thin">
        <color indexed="64"/>
      </left>
      <right style="double">
        <color indexed="64"/>
      </right>
      <top/>
      <bottom/>
      <diagonal/>
    </border>
    <border>
      <left style="dashDotDot">
        <color indexed="64"/>
      </left>
      <right style="mediumDashed">
        <color indexed="64"/>
      </right>
      <top style="medium">
        <color indexed="64"/>
      </top>
      <bottom style="medium">
        <color indexed="64"/>
      </bottom>
      <diagonal/>
    </border>
    <border>
      <left style="mediumDashed">
        <color indexed="64"/>
      </left>
      <right/>
      <top style="medium">
        <color indexed="64"/>
      </top>
      <bottom style="medium">
        <color indexed="64"/>
      </bottom>
      <diagonal/>
    </border>
    <border>
      <left/>
      <right style="hair">
        <color indexed="64"/>
      </right>
      <top style="medium">
        <color indexed="64"/>
      </top>
      <bottom style="hair">
        <color indexed="64"/>
      </bottom>
      <diagonal/>
    </border>
    <border>
      <left/>
      <right style="thin">
        <color indexed="64"/>
      </right>
      <top style="hair">
        <color indexed="64"/>
      </top>
      <bottom style="hair">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s>
  <cellStyleXfs count="5">
    <xf numFmtId="0" fontId="0"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1" fillId="0" borderId="0">
      <alignment vertical="center"/>
    </xf>
  </cellStyleXfs>
  <cellXfs count="1108">
    <xf numFmtId="0" fontId="0" fillId="0" borderId="0" xfId="0">
      <alignment vertical="center"/>
    </xf>
    <xf numFmtId="38" fontId="5" fillId="0" borderId="0" xfId="1" applyFont="1" applyAlignment="1">
      <alignment horizontal="center" vertical="center"/>
    </xf>
    <xf numFmtId="38" fontId="5" fillId="0" borderId="0" xfId="1" applyFont="1" applyAlignment="1">
      <alignment vertical="center" shrinkToFit="1"/>
    </xf>
    <xf numFmtId="38" fontId="5" fillId="0" borderId="0" xfId="1" applyFont="1">
      <alignment vertical="center"/>
    </xf>
    <xf numFmtId="38" fontId="19" fillId="0" borderId="0" xfId="1" applyFont="1" applyAlignment="1">
      <alignment vertical="center" shrinkToFit="1"/>
    </xf>
    <xf numFmtId="38" fontId="5" fillId="0" borderId="0" xfId="1" applyFont="1" applyAlignment="1">
      <alignment horizontal="right" vertical="center" shrinkToFit="1"/>
    </xf>
    <xf numFmtId="38" fontId="60" fillId="0" borderId="0" xfId="1" applyFont="1" applyAlignment="1">
      <alignment horizontal="center" vertical="center"/>
    </xf>
    <xf numFmtId="38" fontId="20" fillId="0" borderId="0" xfId="1" applyFont="1">
      <alignment vertical="center"/>
    </xf>
    <xf numFmtId="38" fontId="21" fillId="0" borderId="0" xfId="1" applyFont="1">
      <alignment vertical="center"/>
    </xf>
    <xf numFmtId="38" fontId="22" fillId="0" borderId="0" xfId="1" applyFont="1" applyAlignment="1">
      <alignment vertical="center" shrinkToFit="1"/>
    </xf>
    <xf numFmtId="38" fontId="2" fillId="0" borderId="0" xfId="1">
      <alignment vertical="center"/>
    </xf>
    <xf numFmtId="38" fontId="25" fillId="0" borderId="0" xfId="1" applyFont="1">
      <alignment vertical="center"/>
    </xf>
    <xf numFmtId="38" fontId="61" fillId="0" borderId="0" xfId="1" applyFont="1" applyAlignment="1">
      <alignment vertical="center" shrinkToFit="1"/>
    </xf>
    <xf numFmtId="38" fontId="62" fillId="0" borderId="0" xfId="1" applyFont="1" applyAlignment="1">
      <alignment horizontal="right" vertical="center" shrinkToFit="1"/>
    </xf>
    <xf numFmtId="38" fontId="26" fillId="0" borderId="0" xfId="1" applyFont="1" applyAlignment="1">
      <alignment horizontal="center" vertical="center" wrapText="1" shrinkToFit="1"/>
    </xf>
    <xf numFmtId="38" fontId="12" fillId="0" borderId="0" xfId="1" applyFont="1">
      <alignment vertical="center"/>
    </xf>
    <xf numFmtId="38" fontId="62" fillId="0" borderId="0" xfId="1" applyFont="1" applyAlignment="1">
      <alignment vertical="center" shrinkToFit="1"/>
    </xf>
    <xf numFmtId="38" fontId="62" fillId="0" borderId="0" xfId="1" applyFont="1">
      <alignment vertical="center"/>
    </xf>
    <xf numFmtId="38" fontId="5" fillId="6" borderId="0" xfId="1" applyFont="1" applyFill="1" applyAlignment="1">
      <alignment horizontal="center" vertical="center"/>
    </xf>
    <xf numFmtId="38" fontId="63" fillId="0" borderId="0" xfId="1" applyFont="1">
      <alignment vertical="center"/>
    </xf>
    <xf numFmtId="38" fontId="29" fillId="7" borderId="7" xfId="1" applyFont="1" applyFill="1" applyBorder="1" applyAlignment="1">
      <alignment horizontal="left" vertical="center" wrapText="1"/>
    </xf>
    <xf numFmtId="38" fontId="5" fillId="3" borderId="4" xfId="1" applyFont="1" applyFill="1" applyBorder="1" applyAlignment="1">
      <alignment horizontal="left" vertical="center" wrapText="1"/>
    </xf>
    <xf numFmtId="38" fontId="8" fillId="2" borderId="5" xfId="1" applyFont="1" applyFill="1" applyBorder="1" applyAlignment="1">
      <alignment horizontal="center" vertical="center" wrapText="1"/>
    </xf>
    <xf numFmtId="38" fontId="8" fillId="2" borderId="8" xfId="1" applyFont="1" applyFill="1" applyBorder="1" applyAlignment="1">
      <alignment horizontal="center" vertical="center" wrapText="1"/>
    </xf>
    <xf numFmtId="38" fontId="11" fillId="2" borderId="5" xfId="1" applyFont="1" applyFill="1" applyBorder="1" applyAlignment="1">
      <alignment horizontal="center" vertical="center" wrapText="1"/>
    </xf>
    <xf numFmtId="38" fontId="11" fillId="2" borderId="5" xfId="1" applyFont="1" applyFill="1" applyBorder="1" applyAlignment="1">
      <alignment horizontal="center" vertical="center" wrapText="1" shrinkToFit="1"/>
    </xf>
    <xf numFmtId="38" fontId="8" fillId="2" borderId="5" xfId="1" applyFont="1" applyFill="1" applyBorder="1" applyAlignment="1">
      <alignment horizontal="center" vertical="center" wrapText="1" shrinkToFit="1"/>
    </xf>
    <xf numFmtId="38" fontId="5" fillId="9" borderId="5" xfId="1" applyFont="1" applyFill="1" applyBorder="1" applyAlignment="1">
      <alignment horizontal="center" vertical="center" wrapText="1" shrinkToFit="1"/>
    </xf>
    <xf numFmtId="38" fontId="5" fillId="2" borderId="9" xfId="1" applyFont="1" applyFill="1" applyBorder="1" applyAlignment="1">
      <alignment horizontal="center" vertical="center" wrapText="1"/>
    </xf>
    <xf numFmtId="38" fontId="8" fillId="2" borderId="4" xfId="1" applyFont="1" applyFill="1" applyBorder="1" applyAlignment="1">
      <alignment horizontal="center" vertical="center" wrapText="1"/>
    </xf>
    <xf numFmtId="38" fontId="8" fillId="2" borderId="2" xfId="1" applyFont="1" applyFill="1" applyBorder="1" applyAlignment="1">
      <alignment horizontal="center" vertical="center" wrapText="1"/>
    </xf>
    <xf numFmtId="177" fontId="8" fillId="2" borderId="4" xfId="1" applyNumberFormat="1" applyFont="1" applyFill="1" applyBorder="1" applyAlignment="1">
      <alignment horizontal="center" vertical="center" wrapText="1"/>
    </xf>
    <xf numFmtId="38" fontId="30" fillId="4" borderId="10" xfId="1" applyFont="1" applyFill="1" applyBorder="1" applyAlignment="1">
      <alignment horizontal="center" vertical="center" wrapText="1"/>
    </xf>
    <xf numFmtId="38" fontId="8" fillId="2" borderId="11" xfId="1" applyFont="1" applyFill="1" applyBorder="1" applyAlignment="1">
      <alignment horizontal="center" vertical="center" wrapText="1"/>
    </xf>
    <xf numFmtId="38" fontId="8" fillId="9" borderId="8" xfId="1" applyFont="1" applyFill="1" applyBorder="1" applyAlignment="1">
      <alignment horizontal="center" vertical="center" wrapText="1" shrinkToFit="1"/>
    </xf>
    <xf numFmtId="38" fontId="5" fillId="2" borderId="12" xfId="1" applyFont="1" applyFill="1" applyBorder="1" applyAlignment="1">
      <alignment horizontal="center" vertical="center" wrapText="1" shrinkToFit="1"/>
    </xf>
    <xf numFmtId="38" fontId="8" fillId="2" borderId="13" xfId="1" applyFont="1" applyFill="1" applyBorder="1" applyAlignment="1">
      <alignment horizontal="center" vertical="center" wrapText="1" shrinkToFit="1"/>
    </xf>
    <xf numFmtId="38" fontId="5" fillId="2" borderId="14" xfId="1" applyFont="1" applyFill="1" applyBorder="1" applyAlignment="1">
      <alignment horizontal="center" vertical="center" shrinkToFit="1"/>
    </xf>
    <xf numFmtId="38" fontId="31" fillId="3" borderId="15" xfId="1" applyFont="1" applyFill="1" applyBorder="1" applyAlignment="1">
      <alignment horizontal="left" vertical="center" wrapText="1"/>
    </xf>
    <xf numFmtId="38" fontId="8" fillId="2" borderId="16" xfId="1" applyFont="1" applyFill="1" applyBorder="1" applyAlignment="1">
      <alignment horizontal="center" vertical="center" wrapText="1"/>
    </xf>
    <xf numFmtId="177" fontId="9" fillId="0" borderId="28" xfId="1" applyNumberFormat="1" applyFont="1" applyBorder="1" applyAlignment="1">
      <alignment vertical="center" shrinkToFit="1"/>
    </xf>
    <xf numFmtId="38" fontId="25" fillId="0" borderId="29" xfId="1" applyFont="1" applyBorder="1" applyAlignment="1">
      <alignment vertical="center" shrinkToFit="1"/>
    </xf>
    <xf numFmtId="38" fontId="25" fillId="0" borderId="26" xfId="1" applyFont="1" applyBorder="1" applyAlignment="1">
      <alignment vertical="center" shrinkToFit="1"/>
    </xf>
    <xf numFmtId="38" fontId="5" fillId="0" borderId="27" xfId="1" applyFont="1" applyBorder="1" applyAlignment="1">
      <alignment vertical="center" shrinkToFit="1"/>
    </xf>
    <xf numFmtId="38" fontId="5" fillId="0" borderId="28" xfId="1" applyFont="1" applyBorder="1" applyAlignment="1">
      <alignment vertical="center" shrinkToFit="1"/>
    </xf>
    <xf numFmtId="176" fontId="26" fillId="0" borderId="27" xfId="1" applyNumberFormat="1" applyFont="1" applyBorder="1" applyAlignment="1">
      <alignment horizontal="center" vertical="center" shrinkToFit="1"/>
    </xf>
    <xf numFmtId="38" fontId="5" fillId="0" borderId="27" xfId="1" applyFont="1" applyBorder="1" applyAlignment="1">
      <alignment horizontal="center" vertical="center" shrinkToFit="1"/>
    </xf>
    <xf numFmtId="38" fontId="2" fillId="0" borderId="27" xfId="1" applyBorder="1" applyAlignment="1">
      <alignment horizontal="right" vertical="center" shrinkToFit="1"/>
    </xf>
    <xf numFmtId="38" fontId="2" fillId="0" borderId="36" xfId="1" applyBorder="1" applyAlignment="1">
      <alignment vertical="center" shrinkToFit="1"/>
    </xf>
    <xf numFmtId="38" fontId="5" fillId="0" borderId="26" xfId="1" applyFont="1" applyBorder="1" applyAlignment="1">
      <alignment vertical="center" shrinkToFit="1"/>
    </xf>
    <xf numFmtId="38" fontId="5" fillId="0" borderId="23" xfId="1" applyFont="1" applyBorder="1" applyAlignment="1">
      <alignment vertical="center" shrinkToFit="1"/>
    </xf>
    <xf numFmtId="177" fontId="5" fillId="0" borderId="26" xfId="1" applyNumberFormat="1" applyFont="1" applyBorder="1" applyAlignment="1">
      <alignment vertical="center" shrinkToFit="1"/>
    </xf>
    <xf numFmtId="38" fontId="5" fillId="0" borderId="31" xfId="1" applyFont="1" applyBorder="1" applyAlignment="1">
      <alignment vertical="center" shrinkToFit="1"/>
    </xf>
    <xf numFmtId="38" fontId="2" fillId="0" borderId="32" xfId="1" applyBorder="1" applyAlignment="1">
      <alignment vertical="center" shrinkToFit="1"/>
    </xf>
    <xf numFmtId="38" fontId="5" fillId="0" borderId="26" xfId="1" applyFont="1" applyBorder="1" applyAlignment="1">
      <alignment horizontal="center" vertical="center" shrinkToFit="1"/>
    </xf>
    <xf numFmtId="38" fontId="5" fillId="0" borderId="37" xfId="1" applyFont="1" applyBorder="1" applyAlignment="1">
      <alignment vertical="center" shrinkToFit="1"/>
    </xf>
    <xf numFmtId="38" fontId="33" fillId="0" borderId="29" xfId="1" applyFont="1" applyBorder="1" applyAlignment="1">
      <alignment vertical="center" shrinkToFit="1"/>
    </xf>
    <xf numFmtId="38" fontId="5" fillId="0" borderId="38" xfId="1" applyFont="1" applyBorder="1" applyAlignment="1">
      <alignment vertical="center" shrinkToFit="1"/>
    </xf>
    <xf numFmtId="176" fontId="34" fillId="0" borderId="27" xfId="1" applyNumberFormat="1" applyFont="1" applyBorder="1" applyAlignment="1">
      <alignment horizontal="center" vertical="center" shrinkToFit="1"/>
    </xf>
    <xf numFmtId="38" fontId="25" fillId="11" borderId="26" xfId="1" applyFont="1" applyFill="1" applyBorder="1" applyAlignment="1">
      <alignment vertical="center" shrinkToFit="1"/>
    </xf>
    <xf numFmtId="177" fontId="31" fillId="0" borderId="26" xfId="1" applyNumberFormat="1" applyFont="1" applyBorder="1" applyAlignment="1">
      <alignment vertical="center" shrinkToFit="1"/>
    </xf>
    <xf numFmtId="38" fontId="68" fillId="0" borderId="27" xfId="1" applyFont="1" applyBorder="1" applyAlignment="1">
      <alignment vertical="center" shrinkToFit="1"/>
    </xf>
    <xf numFmtId="38" fontId="68" fillId="0" borderId="26" xfId="1" applyFont="1" applyBorder="1" applyAlignment="1">
      <alignment vertical="center" shrinkToFit="1"/>
    </xf>
    <xf numFmtId="38" fontId="67" fillId="0" borderId="42" xfId="1" applyFont="1" applyBorder="1" applyAlignment="1">
      <alignment horizontal="right" vertical="center" shrinkToFit="1"/>
    </xf>
    <xf numFmtId="38" fontId="68" fillId="0" borderId="26" xfId="1" applyFont="1" applyBorder="1" applyAlignment="1">
      <alignment horizontal="center" vertical="center" shrinkToFit="1"/>
    </xf>
    <xf numFmtId="38" fontId="68" fillId="0" borderId="37" xfId="1" applyFont="1" applyBorder="1" applyAlignment="1">
      <alignment vertical="center" shrinkToFit="1"/>
    </xf>
    <xf numFmtId="38" fontId="71" fillId="0" borderId="29" xfId="1" applyFont="1" applyBorder="1" applyAlignment="1">
      <alignment vertical="center" shrinkToFit="1"/>
    </xf>
    <xf numFmtId="38" fontId="68" fillId="0" borderId="38" xfId="1" applyFont="1" applyBorder="1" applyAlignment="1">
      <alignment vertical="center" shrinkToFit="1"/>
    </xf>
    <xf numFmtId="38" fontId="68" fillId="0" borderId="28" xfId="1" applyFont="1" applyBorder="1" applyAlignment="1">
      <alignment vertical="center" shrinkToFit="1"/>
    </xf>
    <xf numFmtId="176" fontId="76" fillId="0" borderId="27" xfId="1" applyNumberFormat="1" applyFont="1" applyBorder="1" applyAlignment="1">
      <alignment horizontal="center" vertical="center" shrinkToFit="1"/>
    </xf>
    <xf numFmtId="38" fontId="68" fillId="0" borderId="27" xfId="1" applyFont="1" applyBorder="1" applyAlignment="1">
      <alignment horizontal="center" vertical="center" shrinkToFit="1"/>
    </xf>
    <xf numFmtId="38" fontId="67" fillId="0" borderId="27" xfId="1" applyFont="1" applyBorder="1" applyAlignment="1">
      <alignment horizontal="right" vertical="center" shrinkToFit="1"/>
    </xf>
    <xf numFmtId="38" fontId="67" fillId="0" borderId="36" xfId="1" applyFont="1" applyBorder="1" applyAlignment="1">
      <alignment vertical="center" shrinkToFit="1"/>
    </xf>
    <xf numFmtId="38" fontId="68" fillId="0" borderId="23" xfId="1" applyFont="1" applyBorder="1" applyAlignment="1">
      <alignment vertical="center" shrinkToFit="1"/>
    </xf>
    <xf numFmtId="177" fontId="68" fillId="0" borderId="26" xfId="1" applyNumberFormat="1" applyFont="1" applyBorder="1" applyAlignment="1">
      <alignment vertical="center" shrinkToFit="1"/>
    </xf>
    <xf numFmtId="38" fontId="68" fillId="0" borderId="31" xfId="1" applyFont="1" applyBorder="1" applyAlignment="1">
      <alignment vertical="center" shrinkToFit="1"/>
    </xf>
    <xf numFmtId="38" fontId="5" fillId="0" borderId="22" xfId="1" applyFont="1" applyBorder="1" applyAlignment="1">
      <alignment vertical="center" shrinkToFit="1"/>
    </xf>
    <xf numFmtId="177" fontId="5" fillId="0" borderId="43" xfId="1" applyNumberFormat="1" applyFont="1" applyBorder="1" applyAlignment="1">
      <alignment vertical="center" shrinkToFit="1"/>
    </xf>
    <xf numFmtId="176" fontId="35" fillId="0" borderId="27" xfId="1" applyNumberFormat="1" applyFont="1" applyBorder="1" applyAlignment="1">
      <alignment horizontal="center" vertical="center" shrinkToFit="1"/>
    </xf>
    <xf numFmtId="176" fontId="78" fillId="0" borderId="27" xfId="1" applyNumberFormat="1" applyFont="1" applyBorder="1" applyAlignment="1">
      <alignment horizontal="center" vertical="center" shrinkToFit="1"/>
    </xf>
    <xf numFmtId="38" fontId="5" fillId="0" borderId="42" xfId="1" applyFont="1" applyBorder="1" applyAlignment="1">
      <alignment vertical="center" shrinkToFit="1"/>
    </xf>
    <xf numFmtId="38" fontId="5" fillId="0" borderId="44" xfId="1" applyFont="1" applyBorder="1" applyAlignment="1">
      <alignment vertical="center" shrinkToFit="1"/>
    </xf>
    <xf numFmtId="38" fontId="5" fillId="0" borderId="42" xfId="1" applyFont="1" applyBorder="1" applyAlignment="1">
      <alignment horizontal="center" vertical="center" shrinkToFit="1"/>
    </xf>
    <xf numFmtId="38" fontId="5" fillId="0" borderId="46" xfId="1" applyFont="1" applyBorder="1" applyAlignment="1">
      <alignment vertical="center" shrinkToFit="1"/>
    </xf>
    <xf numFmtId="38" fontId="5" fillId="0" borderId="48" xfId="1" applyFont="1" applyBorder="1" applyAlignment="1">
      <alignment vertical="center" shrinkToFit="1"/>
    </xf>
    <xf numFmtId="177" fontId="5" fillId="0" borderId="0" xfId="1" applyNumberFormat="1" applyFont="1" applyAlignment="1">
      <alignment vertical="center" shrinkToFit="1"/>
    </xf>
    <xf numFmtId="38" fontId="2" fillId="0" borderId="46" xfId="1" applyBorder="1" applyAlignment="1">
      <alignment vertical="center" shrinkToFit="1"/>
    </xf>
    <xf numFmtId="38" fontId="5" fillId="0" borderId="46" xfId="1" applyFont="1" applyBorder="1" applyAlignment="1">
      <alignment horizontal="center" vertical="center" shrinkToFit="1"/>
    </xf>
    <xf numFmtId="38" fontId="5" fillId="0" borderId="52" xfId="1" applyFont="1" applyBorder="1" applyAlignment="1">
      <alignment vertical="center" shrinkToFit="1"/>
    </xf>
    <xf numFmtId="38" fontId="33" fillId="0" borderId="45" xfId="1" applyFont="1" applyBorder="1" applyAlignment="1">
      <alignment vertical="center" shrinkToFit="1"/>
    </xf>
    <xf numFmtId="38" fontId="5" fillId="0" borderId="53" xfId="1" applyFont="1" applyBorder="1" applyAlignment="1">
      <alignment vertical="center" shrinkToFit="1"/>
    </xf>
    <xf numFmtId="177" fontId="9" fillId="0" borderId="59" xfId="1" applyNumberFormat="1" applyFont="1" applyBorder="1" applyAlignment="1">
      <alignment vertical="center" shrinkToFit="1"/>
    </xf>
    <xf numFmtId="38" fontId="25" fillId="0" borderId="60" xfId="1" applyFont="1" applyBorder="1" applyAlignment="1">
      <alignment vertical="center" shrinkToFit="1"/>
    </xf>
    <xf numFmtId="38" fontId="25" fillId="0" borderId="57" xfId="1" applyFont="1" applyBorder="1" applyAlignment="1">
      <alignment vertical="center" shrinkToFit="1"/>
    </xf>
    <xf numFmtId="38" fontId="5" fillId="0" borderId="58" xfId="1" applyFont="1" applyBorder="1" applyAlignment="1">
      <alignment vertical="center" shrinkToFit="1"/>
    </xf>
    <xf numFmtId="38" fontId="5" fillId="0" borderId="59" xfId="1" applyFont="1" applyBorder="1" applyAlignment="1">
      <alignment vertical="center" shrinkToFit="1"/>
    </xf>
    <xf numFmtId="38" fontId="26" fillId="0" borderId="58" xfId="1" applyFont="1" applyBorder="1" applyAlignment="1">
      <alignment horizontal="center" vertical="center" shrinkToFit="1"/>
    </xf>
    <xf numFmtId="38" fontId="5" fillId="0" borderId="58" xfId="1" applyFont="1" applyBorder="1" applyAlignment="1">
      <alignment horizontal="center" vertical="center" shrinkToFit="1"/>
    </xf>
    <xf numFmtId="177" fontId="37" fillId="0" borderId="59" xfId="1" applyNumberFormat="1" applyFont="1" applyBorder="1" applyAlignment="1">
      <alignment vertical="center" shrinkToFit="1"/>
    </xf>
    <xf numFmtId="38" fontId="2" fillId="0" borderId="61" xfId="1" applyBorder="1" applyAlignment="1">
      <alignment vertical="center" shrinkToFit="1"/>
    </xf>
    <xf numFmtId="180" fontId="6" fillId="0" borderId="57" xfId="1" applyNumberFormat="1" applyFont="1" applyBorder="1" applyAlignment="1">
      <alignment vertical="center" shrinkToFit="1"/>
    </xf>
    <xf numFmtId="38" fontId="5" fillId="0" borderId="55" xfId="1" applyFont="1" applyBorder="1" applyAlignment="1">
      <alignment vertical="center" shrinkToFit="1"/>
    </xf>
    <xf numFmtId="177" fontId="5" fillId="0" borderId="54" xfId="1" applyNumberFormat="1" applyFont="1" applyBorder="1" applyAlignment="1">
      <alignment vertical="center" shrinkToFit="1"/>
    </xf>
    <xf numFmtId="38" fontId="5" fillId="0" borderId="62" xfId="1" applyFont="1" applyBorder="1" applyAlignment="1">
      <alignment vertical="center" shrinkToFit="1"/>
    </xf>
    <xf numFmtId="38" fontId="2" fillId="0" borderId="63" xfId="1" applyBorder="1" applyAlignment="1">
      <alignment vertical="center" shrinkToFit="1"/>
    </xf>
    <xf numFmtId="38" fontId="5" fillId="0" borderId="57" xfId="1" applyFont="1" applyBorder="1" applyAlignment="1">
      <alignment vertical="center" shrinkToFit="1"/>
    </xf>
    <xf numFmtId="38" fontId="2" fillId="0" borderId="58" xfId="1" applyBorder="1" applyAlignment="1">
      <alignment horizontal="right" vertical="center" shrinkToFit="1"/>
    </xf>
    <xf numFmtId="38" fontId="5" fillId="0" borderId="57" xfId="1" applyFont="1" applyBorder="1" applyAlignment="1">
      <alignment horizontal="center" vertical="center" shrinkToFit="1"/>
    </xf>
    <xf numFmtId="38" fontId="5" fillId="0" borderId="65" xfId="1" applyFont="1" applyBorder="1" applyAlignment="1">
      <alignment vertical="center" shrinkToFit="1"/>
    </xf>
    <xf numFmtId="38" fontId="33" fillId="0" borderId="60" xfId="1" applyFont="1" applyBorder="1" applyAlignment="1">
      <alignment vertical="center" shrinkToFit="1"/>
    </xf>
    <xf numFmtId="38" fontId="5" fillId="0" borderId="66" xfId="1" applyFont="1" applyBorder="1" applyAlignment="1">
      <alignment vertical="center" shrinkToFit="1"/>
    </xf>
    <xf numFmtId="38" fontId="25" fillId="0" borderId="72" xfId="1" applyFont="1" applyBorder="1" applyAlignment="1">
      <alignment vertical="center" shrinkToFit="1"/>
    </xf>
    <xf numFmtId="38" fontId="5" fillId="0" borderId="73" xfId="1" applyFont="1" applyBorder="1" applyAlignment="1">
      <alignment vertical="center" shrinkToFit="1"/>
    </xf>
    <xf numFmtId="38" fontId="5" fillId="0" borderId="74" xfId="1" applyFont="1" applyBorder="1" applyAlignment="1">
      <alignment vertical="center" shrinkToFit="1"/>
    </xf>
    <xf numFmtId="176" fontId="26" fillId="0" borderId="73" xfId="1" applyNumberFormat="1" applyFont="1" applyBorder="1" applyAlignment="1">
      <alignment horizontal="center" vertical="center" shrinkToFit="1"/>
    </xf>
    <xf numFmtId="38" fontId="5" fillId="0" borderId="73" xfId="1" applyFont="1" applyBorder="1" applyAlignment="1">
      <alignment horizontal="center" vertical="center" shrinkToFit="1"/>
    </xf>
    <xf numFmtId="38" fontId="2" fillId="0" borderId="73" xfId="1" applyBorder="1" applyAlignment="1">
      <alignment horizontal="right" vertical="center" shrinkToFit="1"/>
    </xf>
    <xf numFmtId="38" fontId="2" fillId="0" borderId="75" xfId="1" applyBorder="1" applyAlignment="1">
      <alignment vertical="center" shrinkToFit="1"/>
    </xf>
    <xf numFmtId="38" fontId="5" fillId="0" borderId="70" xfId="1" applyFont="1" applyBorder="1" applyAlignment="1">
      <alignment vertical="center" shrinkToFit="1"/>
    </xf>
    <xf numFmtId="38" fontId="5" fillId="0" borderId="68" xfId="1" applyFont="1" applyBorder="1" applyAlignment="1">
      <alignment vertical="center" shrinkToFit="1"/>
    </xf>
    <xf numFmtId="177" fontId="5" fillId="0" borderId="70" xfId="1" applyNumberFormat="1" applyFont="1" applyBorder="1" applyAlignment="1">
      <alignment vertical="center" shrinkToFit="1"/>
    </xf>
    <xf numFmtId="38" fontId="2" fillId="0" borderId="76" xfId="1" applyBorder="1" applyAlignment="1">
      <alignment vertical="center" shrinkToFit="1"/>
    </xf>
    <xf numFmtId="38" fontId="5" fillId="0" borderId="68" xfId="1" applyFont="1" applyBorder="1" applyAlignment="1">
      <alignment vertical="center" wrapText="1"/>
    </xf>
    <xf numFmtId="38" fontId="5" fillId="0" borderId="39" xfId="1" applyFont="1" applyBorder="1" applyAlignment="1">
      <alignment horizontal="center" vertical="center" shrinkToFit="1"/>
    </xf>
    <xf numFmtId="38" fontId="5" fillId="0" borderId="78" xfId="1" applyFont="1" applyBorder="1" applyAlignment="1">
      <alignment vertical="center" shrinkToFit="1"/>
    </xf>
    <xf numFmtId="38" fontId="33" fillId="0" borderId="40" xfId="1" applyFont="1" applyBorder="1" applyAlignment="1">
      <alignment vertical="center" shrinkToFit="1"/>
    </xf>
    <xf numFmtId="38" fontId="5" fillId="0" borderId="79" xfId="1" applyFont="1" applyBorder="1" applyAlignment="1">
      <alignment vertical="center" shrinkToFit="1"/>
    </xf>
    <xf numFmtId="38" fontId="38" fillId="0" borderId="27" xfId="1" applyFont="1" applyBorder="1" applyAlignment="1">
      <alignment horizontal="right" vertical="center" shrinkToFit="1"/>
    </xf>
    <xf numFmtId="38" fontId="5" fillId="0" borderId="33" xfId="1" applyFont="1" applyBorder="1" applyAlignment="1">
      <alignment horizontal="center" vertical="center" shrinkToFit="1"/>
    </xf>
    <xf numFmtId="38" fontId="2" fillId="0" borderId="42" xfId="1" applyBorder="1" applyAlignment="1">
      <alignment horizontal="right" vertical="center" shrinkToFit="1"/>
    </xf>
    <xf numFmtId="38" fontId="0" fillId="0" borderId="42" xfId="1" applyFont="1" applyBorder="1" applyAlignment="1">
      <alignment horizontal="right" vertical="center" shrinkToFit="1"/>
    </xf>
    <xf numFmtId="176" fontId="23" fillId="0" borderId="27" xfId="1" applyNumberFormat="1" applyFont="1" applyBorder="1" applyAlignment="1">
      <alignment horizontal="center" vertical="center" shrinkToFit="1"/>
    </xf>
    <xf numFmtId="38" fontId="26" fillId="0" borderId="27" xfId="1" applyFont="1" applyBorder="1" applyAlignment="1">
      <alignment horizontal="center" vertical="center" shrinkToFit="1"/>
    </xf>
    <xf numFmtId="38" fontId="39" fillId="0" borderId="27" xfId="1" applyFont="1" applyBorder="1" applyAlignment="1">
      <alignment horizontal="center" vertical="center" shrinkToFit="1"/>
    </xf>
    <xf numFmtId="38" fontId="25" fillId="11" borderId="46" xfId="1" applyFont="1" applyFill="1" applyBorder="1" applyAlignment="1">
      <alignment vertical="center" shrinkToFit="1"/>
    </xf>
    <xf numFmtId="177" fontId="5" fillId="0" borderId="46" xfId="1" applyNumberFormat="1" applyFont="1" applyBorder="1" applyAlignment="1">
      <alignment vertical="center" shrinkToFit="1"/>
    </xf>
    <xf numFmtId="38" fontId="6" fillId="0" borderId="57" xfId="1" applyFont="1" applyBorder="1" applyAlignment="1">
      <alignment horizontal="right" vertical="center" shrinkToFit="1"/>
    </xf>
    <xf numFmtId="38" fontId="2" fillId="0" borderId="58" xfId="1" applyBorder="1" applyAlignment="1">
      <alignment vertical="center" shrinkToFit="1"/>
    </xf>
    <xf numFmtId="38" fontId="25" fillId="11" borderId="70" xfId="1" applyFont="1" applyFill="1" applyBorder="1" applyAlignment="1">
      <alignment vertical="center" shrinkToFit="1"/>
    </xf>
    <xf numFmtId="176" fontId="34" fillId="0" borderId="73" xfId="1" applyNumberFormat="1" applyFont="1" applyBorder="1" applyAlignment="1">
      <alignment horizontal="center" vertical="center" shrinkToFit="1"/>
    </xf>
    <xf numFmtId="38" fontId="5" fillId="0" borderId="80" xfId="1" applyFont="1" applyBorder="1" applyAlignment="1">
      <alignment vertical="center" shrinkToFit="1"/>
    </xf>
    <xf numFmtId="38" fontId="79" fillId="0" borderId="27" xfId="1" applyFont="1" applyBorder="1" applyAlignment="1">
      <alignment horizontal="center" vertical="center" shrinkToFit="1"/>
    </xf>
    <xf numFmtId="38" fontId="0" fillId="0" borderId="36" xfId="1" applyFont="1" applyBorder="1" applyAlignment="1">
      <alignment vertical="center" shrinkToFit="1"/>
    </xf>
    <xf numFmtId="38" fontId="5" fillId="0" borderId="81" xfId="1" applyFont="1" applyBorder="1" applyAlignment="1">
      <alignment vertical="center" shrinkToFit="1"/>
    </xf>
    <xf numFmtId="181" fontId="71" fillId="0" borderId="29" xfId="1" applyNumberFormat="1" applyFont="1" applyBorder="1" applyAlignment="1">
      <alignment vertical="center" shrinkToFit="1"/>
    </xf>
    <xf numFmtId="38" fontId="31" fillId="0" borderId="26" xfId="1" applyFont="1" applyBorder="1" applyAlignment="1">
      <alignment vertical="center" shrinkToFit="1"/>
    </xf>
    <xf numFmtId="38" fontId="86" fillId="0" borderId="29" xfId="1" applyFont="1" applyBorder="1" applyAlignment="1">
      <alignment vertical="center" shrinkToFit="1"/>
    </xf>
    <xf numFmtId="38" fontId="81" fillId="0" borderId="27" xfId="1" applyFont="1" applyBorder="1" applyAlignment="1">
      <alignment vertical="center" shrinkToFit="1"/>
    </xf>
    <xf numFmtId="38" fontId="81" fillId="0" borderId="28" xfId="1" applyFont="1" applyBorder="1" applyAlignment="1">
      <alignment vertical="center" shrinkToFit="1"/>
    </xf>
    <xf numFmtId="176" fontId="87" fillId="0" borderId="27" xfId="1" applyNumberFormat="1" applyFont="1" applyBorder="1" applyAlignment="1">
      <alignment horizontal="center" vertical="center" shrinkToFit="1"/>
    </xf>
    <xf numFmtId="38" fontId="81" fillId="0" borderId="27" xfId="1" applyFont="1" applyBorder="1" applyAlignment="1">
      <alignment horizontal="center" vertical="center" shrinkToFit="1"/>
    </xf>
    <xf numFmtId="38" fontId="82" fillId="0" borderId="42" xfId="1" applyFont="1" applyBorder="1" applyAlignment="1">
      <alignment horizontal="right" vertical="center" shrinkToFit="1"/>
    </xf>
    <xf numFmtId="38" fontId="82" fillId="0" borderId="36" xfId="1" applyFont="1" applyBorder="1" applyAlignment="1">
      <alignment vertical="center" shrinkToFit="1"/>
    </xf>
    <xf numFmtId="38" fontId="81" fillId="0" borderId="26" xfId="1" applyFont="1" applyBorder="1" applyAlignment="1">
      <alignment vertical="center" shrinkToFit="1"/>
    </xf>
    <xf numFmtId="38" fontId="81" fillId="0" borderId="23" xfId="1" applyFont="1" applyBorder="1" applyAlignment="1">
      <alignment vertical="center" shrinkToFit="1"/>
    </xf>
    <xf numFmtId="177" fontId="81" fillId="0" borderId="26" xfId="1" applyNumberFormat="1" applyFont="1" applyBorder="1" applyAlignment="1">
      <alignment vertical="center" shrinkToFit="1"/>
    </xf>
    <xf numFmtId="38" fontId="81" fillId="0" borderId="31" xfId="1" applyFont="1" applyBorder="1" applyAlignment="1">
      <alignment vertical="center" shrinkToFit="1"/>
    </xf>
    <xf numFmtId="38" fontId="81" fillId="0" borderId="26" xfId="1" applyFont="1" applyBorder="1" applyAlignment="1">
      <alignment horizontal="center" vertical="center" shrinkToFit="1"/>
    </xf>
    <xf numFmtId="38" fontId="81" fillId="0" borderId="37" xfId="1" applyFont="1" applyBorder="1" applyAlignment="1">
      <alignment vertical="center" shrinkToFit="1"/>
    </xf>
    <xf numFmtId="38" fontId="81" fillId="0" borderId="38" xfId="1" applyFont="1" applyBorder="1" applyAlignment="1">
      <alignment vertical="center" shrinkToFit="1"/>
    </xf>
    <xf numFmtId="38" fontId="11" fillId="0" borderId="27" xfId="1" applyFont="1" applyBorder="1" applyAlignment="1">
      <alignment horizontal="center" vertical="top" shrinkToFit="1"/>
    </xf>
    <xf numFmtId="38" fontId="5" fillId="0" borderId="82" xfId="1" applyFont="1" applyBorder="1" applyAlignment="1">
      <alignment vertical="center" shrinkToFit="1"/>
    </xf>
    <xf numFmtId="38" fontId="11" fillId="0" borderId="26" xfId="1" applyFont="1" applyBorder="1" applyAlignment="1">
      <alignment horizontal="center" vertical="top" shrinkToFit="1"/>
    </xf>
    <xf numFmtId="38" fontId="5" fillId="0" borderId="10" xfId="1" applyFont="1" applyBorder="1" applyAlignment="1">
      <alignment vertical="center" shrinkToFit="1"/>
    </xf>
    <xf numFmtId="176" fontId="89" fillId="0" borderId="27" xfId="1" applyNumberFormat="1" applyFont="1" applyBorder="1" applyAlignment="1">
      <alignment horizontal="center" vertical="center" shrinkToFit="1"/>
    </xf>
    <xf numFmtId="176" fontId="90" fillId="0" borderId="27" xfId="1" applyNumberFormat="1" applyFont="1" applyBorder="1" applyAlignment="1">
      <alignment horizontal="center" vertical="center" shrinkToFit="1"/>
    </xf>
    <xf numFmtId="38" fontId="67" fillId="0" borderId="30" xfId="1" applyFont="1" applyBorder="1" applyAlignment="1">
      <alignment vertical="center" shrinkToFit="1"/>
    </xf>
    <xf numFmtId="38" fontId="10" fillId="0" borderId="27" xfId="1" applyFont="1" applyBorder="1" applyAlignment="1">
      <alignment horizontal="center" vertical="center" shrinkToFit="1"/>
    </xf>
    <xf numFmtId="38" fontId="0" fillId="0" borderId="27" xfId="1" applyFont="1" applyBorder="1" applyAlignment="1">
      <alignment horizontal="right" vertical="center" shrinkToFit="1"/>
    </xf>
    <xf numFmtId="38" fontId="0" fillId="0" borderId="30" xfId="1" applyFont="1" applyBorder="1" applyAlignment="1">
      <alignment vertical="center" shrinkToFit="1"/>
    </xf>
    <xf numFmtId="177" fontId="5" fillId="0" borderId="83" xfId="1" applyNumberFormat="1" applyFont="1" applyBorder="1" applyAlignment="1">
      <alignment vertical="center" shrinkToFit="1"/>
    </xf>
    <xf numFmtId="38" fontId="78" fillId="0" borderId="27" xfId="1" applyFont="1" applyBorder="1" applyAlignment="1">
      <alignment horizontal="center" vertical="center" shrinkToFit="1"/>
    </xf>
    <xf numFmtId="38" fontId="77" fillId="0" borderId="27" xfId="1" applyFont="1" applyBorder="1" applyAlignment="1">
      <alignment horizontal="center" vertical="center" shrinkToFit="1"/>
    </xf>
    <xf numFmtId="176" fontId="34" fillId="0" borderId="71" xfId="1" applyNumberFormat="1" applyFont="1" applyBorder="1" applyAlignment="1">
      <alignment horizontal="center" vertical="center" shrinkToFit="1"/>
    </xf>
    <xf numFmtId="38" fontId="41" fillId="0" borderId="27" xfId="1" applyFont="1" applyBorder="1" applyAlignment="1">
      <alignment horizontal="center" vertical="center" shrinkToFit="1"/>
    </xf>
    <xf numFmtId="38" fontId="68" fillId="0" borderId="33" xfId="1" applyFont="1" applyBorder="1" applyAlignment="1">
      <alignment horizontal="center" vertical="center" shrinkToFit="1"/>
    </xf>
    <xf numFmtId="38" fontId="2" fillId="0" borderId="84" xfId="1" applyBorder="1" applyAlignment="1">
      <alignment vertical="center" shrinkToFit="1"/>
    </xf>
    <xf numFmtId="38" fontId="42" fillId="0" borderId="26" xfId="1" applyFont="1" applyBorder="1" applyAlignment="1">
      <alignment vertical="center" shrinkToFit="1"/>
    </xf>
    <xf numFmtId="177" fontId="68" fillId="0" borderId="46" xfId="1" applyNumberFormat="1" applyFont="1" applyBorder="1" applyAlignment="1">
      <alignment vertical="center" shrinkToFit="1"/>
    </xf>
    <xf numFmtId="182" fontId="33" fillId="0" borderId="29" xfId="1" applyNumberFormat="1" applyFont="1" applyBorder="1" applyAlignment="1">
      <alignment vertical="center" shrinkToFit="1"/>
    </xf>
    <xf numFmtId="38" fontId="5" fillId="0" borderId="86" xfId="1" applyFont="1" applyBorder="1" applyAlignment="1">
      <alignment vertical="center" shrinkToFit="1"/>
    </xf>
    <xf numFmtId="38" fontId="2" fillId="0" borderId="30" xfId="1" applyBorder="1" applyAlignment="1">
      <alignment vertical="center" shrinkToFit="1"/>
    </xf>
    <xf numFmtId="3" fontId="5" fillId="0" borderId="38" xfId="1" applyNumberFormat="1" applyFont="1" applyBorder="1" applyAlignment="1">
      <alignment vertical="center" shrinkToFit="1"/>
    </xf>
    <xf numFmtId="38" fontId="43" fillId="0" borderId="26" xfId="1" applyFont="1" applyBorder="1" applyAlignment="1">
      <alignment vertical="center" shrinkToFit="1"/>
    </xf>
    <xf numFmtId="176" fontId="62" fillId="0" borderId="27" xfId="1" applyNumberFormat="1" applyFont="1" applyBorder="1" applyAlignment="1">
      <alignment horizontal="center" vertical="center" shrinkToFit="1"/>
    </xf>
    <xf numFmtId="38" fontId="68" fillId="0" borderId="23" xfId="1" applyFont="1" applyBorder="1" applyAlignment="1">
      <alignment vertical="center" wrapText="1"/>
    </xf>
    <xf numFmtId="38" fontId="92" fillId="0" borderId="27" xfId="1" applyFont="1" applyBorder="1" applyAlignment="1">
      <alignment horizontal="center" vertical="center" shrinkToFit="1"/>
    </xf>
    <xf numFmtId="38" fontId="44" fillId="0" borderId="27" xfId="1" applyFont="1" applyBorder="1" applyAlignment="1">
      <alignment horizontal="center" vertical="center" shrinkToFit="1"/>
    </xf>
    <xf numFmtId="38" fontId="5" fillId="0" borderId="77" xfId="1" applyFont="1" applyBorder="1" applyAlignment="1">
      <alignment horizontal="center" vertical="center" shrinkToFit="1"/>
    </xf>
    <xf numFmtId="38" fontId="44" fillId="0" borderId="33" xfId="1" applyFont="1" applyBorder="1" applyAlignment="1">
      <alignment horizontal="center" vertical="center" shrinkToFit="1"/>
    </xf>
    <xf numFmtId="38" fontId="79" fillId="0" borderId="33" xfId="1" applyFont="1" applyBorder="1" applyAlignment="1">
      <alignment horizontal="center" vertical="center" shrinkToFit="1"/>
    </xf>
    <xf numFmtId="176" fontId="93" fillId="0" borderId="27" xfId="1" applyNumberFormat="1" applyFont="1" applyBorder="1" applyAlignment="1">
      <alignment horizontal="center" vertical="center" shrinkToFit="1"/>
    </xf>
    <xf numFmtId="38" fontId="5" fillId="0" borderId="90" xfId="1" applyFont="1" applyBorder="1" applyAlignment="1">
      <alignment vertical="center" shrinkToFit="1"/>
    </xf>
    <xf numFmtId="38" fontId="2" fillId="0" borderId="89" xfId="1" applyBorder="1" applyAlignment="1">
      <alignment horizontal="right" vertical="center" shrinkToFit="1"/>
    </xf>
    <xf numFmtId="38" fontId="5" fillId="0" borderId="88" xfId="1" applyFont="1" applyBorder="1" applyAlignment="1">
      <alignment horizontal="center" vertical="center" shrinkToFit="1"/>
    </xf>
    <xf numFmtId="38" fontId="5" fillId="0" borderId="92" xfId="1" applyFont="1" applyBorder="1" applyAlignment="1">
      <alignment vertical="center" shrinkToFit="1"/>
    </xf>
    <xf numFmtId="38" fontId="33" fillId="0" borderId="91" xfId="1" applyFont="1" applyBorder="1" applyAlignment="1">
      <alignment vertical="center" shrinkToFit="1"/>
    </xf>
    <xf numFmtId="38" fontId="2" fillId="0" borderId="96" xfId="1" applyBorder="1" applyAlignment="1">
      <alignment horizontal="right" vertical="center" shrinkToFit="1"/>
    </xf>
    <xf numFmtId="38" fontId="2" fillId="0" borderId="71" xfId="1" applyBorder="1" applyAlignment="1">
      <alignment horizontal="right" vertical="center" shrinkToFit="1"/>
    </xf>
    <xf numFmtId="177" fontId="45" fillId="0" borderId="26" xfId="1" applyNumberFormat="1" applyFont="1" applyBorder="1" applyAlignment="1">
      <alignment vertical="center" shrinkToFit="1"/>
    </xf>
    <xf numFmtId="38" fontId="25" fillId="0" borderId="40" xfId="1" applyFont="1" applyBorder="1" applyAlignment="1">
      <alignment vertical="center" shrinkToFit="1"/>
    </xf>
    <xf numFmtId="38" fontId="25" fillId="11" borderId="39" xfId="1" applyFont="1" applyFill="1" applyBorder="1" applyAlignment="1">
      <alignment vertical="center" shrinkToFit="1"/>
    </xf>
    <xf numFmtId="38" fontId="5" fillId="0" borderId="39" xfId="1" applyFont="1" applyBorder="1" applyAlignment="1">
      <alignment vertical="center" shrinkToFit="1"/>
    </xf>
    <xf numFmtId="38" fontId="5" fillId="0" borderId="34" xfId="1" applyFont="1" applyBorder="1" applyAlignment="1">
      <alignment vertical="center" shrinkToFit="1"/>
    </xf>
    <xf numFmtId="177" fontId="5" fillId="0" borderId="39" xfId="1" applyNumberFormat="1" applyFont="1" applyBorder="1" applyAlignment="1">
      <alignment vertical="center" shrinkToFit="1"/>
    </xf>
    <xf numFmtId="38" fontId="2" fillId="0" borderId="103" xfId="1" applyBorder="1" applyAlignment="1">
      <alignment vertical="center" shrinkToFit="1"/>
    </xf>
    <xf numFmtId="38" fontId="5" fillId="0" borderId="71" xfId="1" applyFont="1" applyBorder="1" applyAlignment="1">
      <alignment vertical="center" shrinkToFit="1"/>
    </xf>
    <xf numFmtId="38" fontId="14" fillId="0" borderId="26" xfId="1" applyFont="1" applyBorder="1" applyAlignment="1">
      <alignment horizontal="center" vertical="center" shrinkToFit="1"/>
    </xf>
    <xf numFmtId="38" fontId="14" fillId="0" borderId="37" xfId="1" applyFont="1" applyBorder="1" applyAlignment="1">
      <alignment vertical="center" shrinkToFit="1"/>
    </xf>
    <xf numFmtId="38" fontId="14" fillId="0" borderId="38" xfId="1" applyFont="1" applyBorder="1" applyAlignment="1">
      <alignment vertical="center" shrinkToFit="1"/>
    </xf>
    <xf numFmtId="38" fontId="50" fillId="0" borderId="33" xfId="1" applyFont="1" applyBorder="1" applyAlignment="1">
      <alignment horizontal="center" vertical="center" shrinkToFit="1"/>
    </xf>
    <xf numFmtId="38" fontId="94" fillId="0" borderId="36" xfId="1" applyFont="1" applyBorder="1" applyAlignment="1">
      <alignment vertical="center" shrinkToFit="1"/>
    </xf>
    <xf numFmtId="38" fontId="95" fillId="12" borderId="29" xfId="1" applyFont="1" applyFill="1" applyBorder="1" applyAlignment="1">
      <alignment vertical="center" shrinkToFit="1"/>
    </xf>
    <xf numFmtId="38" fontId="5" fillId="0" borderId="104" xfId="1" applyFont="1" applyBorder="1" applyAlignment="1">
      <alignment vertical="center" shrinkToFit="1"/>
    </xf>
    <xf numFmtId="38" fontId="5" fillId="0" borderId="105" xfId="1" applyFont="1" applyBorder="1" applyAlignment="1">
      <alignment vertical="center" shrinkToFit="1"/>
    </xf>
    <xf numFmtId="38" fontId="5" fillId="0" borderId="28" xfId="1" applyFont="1" applyBorder="1" applyAlignment="1">
      <alignment horizontal="center" vertical="center" shrinkToFit="1"/>
    </xf>
    <xf numFmtId="183" fontId="6" fillId="0" borderId="23" xfId="1" applyNumberFormat="1" applyFont="1" applyBorder="1" applyAlignment="1">
      <alignment vertical="center" shrinkToFit="1"/>
    </xf>
    <xf numFmtId="177" fontId="52" fillId="0" borderId="26" xfId="1" applyNumberFormat="1" applyFont="1" applyBorder="1" applyAlignment="1">
      <alignment vertical="center" shrinkToFit="1"/>
    </xf>
    <xf numFmtId="183" fontId="18" fillId="0" borderId="37" xfId="1" applyNumberFormat="1" applyFont="1" applyBorder="1" applyAlignment="1">
      <alignment horizontal="distributed" vertical="center" shrinkToFit="1"/>
    </xf>
    <xf numFmtId="38" fontId="5" fillId="0" borderId="77" xfId="1" applyFont="1" applyBorder="1" applyAlignment="1">
      <alignment vertical="center" shrinkToFit="1"/>
    </xf>
    <xf numFmtId="38" fontId="5" fillId="0" borderId="33" xfId="1" applyFont="1" applyBorder="1" applyAlignment="1">
      <alignment vertical="center" shrinkToFit="1"/>
    </xf>
    <xf numFmtId="38" fontId="5" fillId="0" borderId="107" xfId="1" applyFont="1" applyBorder="1" applyAlignment="1">
      <alignment vertical="center" shrinkToFit="1"/>
    </xf>
    <xf numFmtId="177" fontId="54" fillId="0" borderId="59" xfId="1" applyNumberFormat="1" applyFont="1" applyBorder="1" applyAlignment="1">
      <alignment vertical="center" shrinkToFit="1"/>
    </xf>
    <xf numFmtId="38" fontId="7" fillId="0" borderId="60" xfId="1" applyFont="1" applyBorder="1" applyAlignment="1">
      <alignment vertical="center" shrinkToFit="1"/>
    </xf>
    <xf numFmtId="38" fontId="42" fillId="0" borderId="26" xfId="1" applyFont="1" applyBorder="1" applyAlignment="1">
      <alignment horizontal="right" vertical="center" shrinkToFit="1"/>
    </xf>
    <xf numFmtId="38" fontId="21" fillId="0" borderId="26" xfId="1" applyFont="1" applyBorder="1" applyAlignment="1">
      <alignment vertical="center" shrinkToFit="1"/>
    </xf>
    <xf numFmtId="38" fontId="42" fillId="0" borderId="108" xfId="1" applyFont="1" applyBorder="1" applyAlignment="1">
      <alignment vertical="center" shrinkToFit="1"/>
    </xf>
    <xf numFmtId="38" fontId="42" fillId="0" borderId="31" xfId="1" applyFont="1" applyBorder="1" applyAlignment="1">
      <alignment vertical="center" shrinkToFit="1"/>
    </xf>
    <xf numFmtId="38" fontId="5" fillId="0" borderId="108" xfId="1" applyFont="1" applyBorder="1" applyAlignment="1">
      <alignment vertical="center" shrinkToFit="1"/>
    </xf>
    <xf numFmtId="38" fontId="42" fillId="0" borderId="28" xfId="1" applyFont="1" applyBorder="1" applyAlignment="1">
      <alignment vertical="center" shrinkToFit="1"/>
    </xf>
    <xf numFmtId="38" fontId="5" fillId="0" borderId="32" xfId="1" applyFont="1" applyBorder="1" applyAlignment="1">
      <alignment vertical="center" shrinkToFit="1"/>
    </xf>
    <xf numFmtId="38" fontId="5" fillId="0" borderId="26" xfId="1" applyFont="1" applyBorder="1" applyAlignment="1">
      <alignment vertical="center" wrapText="1"/>
    </xf>
    <xf numFmtId="38" fontId="5" fillId="0" borderId="26" xfId="1" applyFont="1" applyBorder="1" applyAlignment="1">
      <alignment horizontal="center" vertical="center"/>
    </xf>
    <xf numFmtId="38" fontId="5" fillId="0" borderId="26" xfId="1" applyFont="1" applyBorder="1">
      <alignment vertical="center"/>
    </xf>
    <xf numFmtId="38" fontId="21" fillId="0" borderId="26" xfId="1" applyFont="1" applyBorder="1">
      <alignment vertical="center"/>
    </xf>
    <xf numFmtId="38" fontId="22" fillId="0" borderId="26" xfId="1" applyFont="1" applyBorder="1" applyAlignment="1">
      <alignment vertical="center" shrinkToFit="1"/>
    </xf>
    <xf numFmtId="38" fontId="19" fillId="0" borderId="26" xfId="1" applyFont="1" applyBorder="1" applyAlignment="1">
      <alignment vertical="center" shrinkToFit="1"/>
    </xf>
    <xf numFmtId="38" fontId="6" fillId="0" borderId="26" xfId="1" applyFont="1" applyBorder="1" applyAlignment="1">
      <alignment vertical="center" shrinkToFit="1"/>
    </xf>
    <xf numFmtId="38" fontId="20" fillId="0" borderId="26" xfId="1" applyFont="1" applyBorder="1" applyAlignment="1">
      <alignment vertical="center" shrinkToFit="1"/>
    </xf>
    <xf numFmtId="38" fontId="62" fillId="0" borderId="0" xfId="1" applyFont="1" applyAlignment="1">
      <alignment horizontal="center" vertical="center" wrapText="1"/>
    </xf>
    <xf numFmtId="38" fontId="97" fillId="0" borderId="0" xfId="1" applyFont="1" applyAlignment="1">
      <alignment vertical="center" shrinkToFit="1"/>
    </xf>
    <xf numFmtId="38" fontId="98" fillId="0" borderId="0" xfId="1" applyFont="1" applyAlignment="1">
      <alignment vertical="center" shrinkToFit="1"/>
    </xf>
    <xf numFmtId="38" fontId="20" fillId="0" borderId="0" xfId="1" applyFont="1" applyAlignment="1">
      <alignment vertical="center" shrinkToFit="1"/>
    </xf>
    <xf numFmtId="38" fontId="97" fillId="0" borderId="110" xfId="1" applyFont="1" applyBorder="1" applyAlignment="1">
      <alignment vertical="center" shrinkToFit="1"/>
    </xf>
    <xf numFmtId="38" fontId="62" fillId="0" borderId="0" xfId="1" applyFont="1" applyAlignment="1">
      <alignment horizontal="center" vertical="center"/>
    </xf>
    <xf numFmtId="38" fontId="99" fillId="0" borderId="0" xfId="1" applyFont="1" applyAlignment="1">
      <alignment vertical="center" shrinkToFit="1"/>
    </xf>
    <xf numFmtId="38" fontId="12" fillId="0" borderId="0" xfId="1" applyFont="1" applyAlignment="1">
      <alignment vertical="center" shrinkToFit="1"/>
    </xf>
    <xf numFmtId="38" fontId="10" fillId="0" borderId="0" xfId="1" applyFont="1" applyAlignment="1">
      <alignment vertical="center" shrinkToFit="1"/>
    </xf>
    <xf numFmtId="0" fontId="23" fillId="0" borderId="0" xfId="0" applyFont="1" applyProtection="1">
      <alignment vertical="center"/>
    </xf>
    <xf numFmtId="0" fontId="7" fillId="0" borderId="0" xfId="0" applyFont="1" applyProtection="1">
      <alignment vertical="center"/>
    </xf>
    <xf numFmtId="0" fontId="7" fillId="0" borderId="105" xfId="0" applyFont="1" applyBorder="1" applyAlignment="1" applyProtection="1">
      <alignment vertical="center"/>
    </xf>
    <xf numFmtId="0" fontId="7" fillId="0" borderId="113" xfId="0" applyFont="1" applyBorder="1" applyAlignment="1" applyProtection="1">
      <alignment vertical="center"/>
    </xf>
    <xf numFmtId="0" fontId="7" fillId="0" borderId="114" xfId="0" applyFont="1" applyBorder="1" applyAlignment="1" applyProtection="1">
      <alignment vertical="center"/>
    </xf>
    <xf numFmtId="0" fontId="7" fillId="0" borderId="113" xfId="0" applyFont="1" applyBorder="1" applyAlignment="1" applyProtection="1">
      <alignment horizontal="center" vertical="center"/>
    </xf>
    <xf numFmtId="0" fontId="9" fillId="0" borderId="0" xfId="0" applyFont="1" applyBorder="1" applyAlignment="1" applyProtection="1">
      <alignment horizontal="center" vertical="center"/>
    </xf>
    <xf numFmtId="0" fontId="7" fillId="0" borderId="0" xfId="0" applyFont="1" applyBorder="1" applyAlignment="1" applyProtection="1">
      <alignment vertical="center"/>
    </xf>
    <xf numFmtId="0" fontId="7" fillId="0" borderId="13" xfId="0" applyFont="1" applyBorder="1" applyProtection="1">
      <alignment vertical="center"/>
    </xf>
    <xf numFmtId="0" fontId="7" fillId="0" borderId="13" xfId="0" applyFont="1" applyBorder="1" applyAlignment="1" applyProtection="1">
      <alignment horizontal="center" vertical="center"/>
      <protection locked="0"/>
    </xf>
    <xf numFmtId="0" fontId="7" fillId="0" borderId="120" xfId="0" applyFont="1" applyBorder="1" applyAlignment="1" applyProtection="1">
      <alignment horizontal="center" vertical="center"/>
    </xf>
    <xf numFmtId="0" fontId="7" fillId="0" borderId="111" xfId="0" applyFont="1" applyBorder="1" applyAlignment="1" applyProtection="1">
      <alignment horizontal="center" vertical="center"/>
      <protection locked="0"/>
    </xf>
    <xf numFmtId="38" fontId="10" fillId="14" borderId="6" xfId="1" applyFont="1" applyFill="1" applyBorder="1" applyAlignment="1">
      <alignment horizontal="left" vertical="center" wrapText="1" shrinkToFit="1"/>
    </xf>
    <xf numFmtId="38" fontId="2" fillId="16" borderId="8" xfId="1" applyFont="1" applyFill="1" applyBorder="1" applyAlignment="1">
      <alignment horizontal="center" vertical="center" wrapText="1" shrinkToFit="1"/>
    </xf>
    <xf numFmtId="38" fontId="5" fillId="8" borderId="9" xfId="1" applyFont="1" applyFill="1" applyBorder="1" applyAlignment="1">
      <alignment horizontal="center" vertical="center" wrapText="1"/>
    </xf>
    <xf numFmtId="177" fontId="9" fillId="0" borderId="28" xfId="1" applyNumberFormat="1" applyFont="1" applyFill="1" applyBorder="1" applyAlignment="1">
      <alignment vertical="center" shrinkToFit="1"/>
    </xf>
    <xf numFmtId="177" fontId="2" fillId="0" borderId="28" xfId="1" applyNumberFormat="1" applyFont="1" applyBorder="1" applyAlignment="1">
      <alignment horizontal="right" vertical="center" shrinkToFit="1"/>
    </xf>
    <xf numFmtId="38" fontId="2" fillId="8" borderId="36" xfId="1" applyFill="1" applyBorder="1" applyAlignment="1">
      <alignment vertical="center" shrinkToFit="1"/>
    </xf>
    <xf numFmtId="38" fontId="5" fillId="0" borderId="26" xfId="1" applyFont="1" applyFill="1" applyBorder="1" applyAlignment="1">
      <alignment vertical="center" shrinkToFit="1"/>
    </xf>
    <xf numFmtId="38" fontId="67" fillId="8" borderId="36" xfId="1" applyFont="1" applyFill="1" applyBorder="1" applyAlignment="1">
      <alignment vertical="center" shrinkToFit="1"/>
    </xf>
    <xf numFmtId="0" fontId="5" fillId="0" borderId="22" xfId="3" applyFont="1" applyBorder="1" applyAlignment="1">
      <alignment vertical="center" wrapText="1"/>
    </xf>
    <xf numFmtId="177" fontId="5" fillId="17" borderId="43" xfId="1" applyNumberFormat="1" applyFont="1" applyFill="1" applyBorder="1" applyAlignment="1">
      <alignment vertical="center" shrinkToFit="1"/>
    </xf>
    <xf numFmtId="38" fontId="5" fillId="17" borderId="31" xfId="1" applyFont="1" applyFill="1" applyBorder="1" applyAlignment="1">
      <alignment vertical="center" shrinkToFit="1"/>
    </xf>
    <xf numFmtId="38" fontId="2" fillId="8" borderId="100" xfId="1" applyFill="1" applyBorder="1" applyAlignment="1">
      <alignment vertical="center" shrinkToFit="1"/>
    </xf>
    <xf numFmtId="177" fontId="2" fillId="0" borderId="59" xfId="1" applyNumberFormat="1" applyFont="1" applyBorder="1" applyAlignment="1">
      <alignment horizontal="right" vertical="center" shrinkToFit="1"/>
    </xf>
    <xf numFmtId="38" fontId="2" fillId="8" borderId="61" xfId="1" applyFill="1" applyBorder="1" applyAlignment="1">
      <alignment vertical="center" shrinkToFit="1"/>
    </xf>
    <xf numFmtId="38" fontId="2" fillId="8" borderId="75" xfId="1" applyFill="1" applyBorder="1" applyAlignment="1">
      <alignment vertical="center" shrinkToFit="1"/>
    </xf>
    <xf numFmtId="177" fontId="2" fillId="0" borderId="85" xfId="1" applyNumberFormat="1" applyFont="1" applyBorder="1" applyAlignment="1">
      <alignment horizontal="right" vertical="center" shrinkToFit="1"/>
    </xf>
    <xf numFmtId="38" fontId="2" fillId="8" borderId="36" xfId="1" applyFont="1" applyFill="1" applyBorder="1" applyAlignment="1">
      <alignment vertical="center" shrinkToFit="1"/>
    </xf>
    <xf numFmtId="38" fontId="82" fillId="8" borderId="36" xfId="1" applyFont="1" applyFill="1" applyBorder="1" applyAlignment="1">
      <alignment vertical="center" shrinkToFit="1"/>
    </xf>
    <xf numFmtId="38" fontId="71" fillId="0" borderId="29" xfId="1" applyFont="1" applyFill="1" applyBorder="1" applyAlignment="1">
      <alignment vertical="center" shrinkToFit="1"/>
    </xf>
    <xf numFmtId="38" fontId="71" fillId="0" borderId="26" xfId="1" applyFont="1" applyFill="1" applyBorder="1" applyAlignment="1">
      <alignment vertical="center" shrinkToFit="1"/>
    </xf>
    <xf numFmtId="177" fontId="2" fillId="0" borderId="28" xfId="1" applyNumberFormat="1" applyFont="1" applyFill="1" applyBorder="1" applyAlignment="1">
      <alignment horizontal="right" vertical="center" shrinkToFit="1"/>
    </xf>
    <xf numFmtId="38" fontId="67" fillId="8" borderId="30" xfId="1" applyFont="1" applyFill="1" applyBorder="1" applyAlignment="1">
      <alignment vertical="center" shrinkToFit="1"/>
    </xf>
    <xf numFmtId="3" fontId="24" fillId="0" borderId="38" xfId="1" applyNumberFormat="1" applyFont="1" applyBorder="1" applyAlignment="1">
      <alignment vertical="center" shrinkToFit="1"/>
    </xf>
    <xf numFmtId="38" fontId="2" fillId="8" borderId="30" xfId="1" applyFill="1" applyBorder="1" applyAlignment="1">
      <alignment vertical="center" shrinkToFit="1"/>
    </xf>
    <xf numFmtId="38" fontId="25" fillId="0" borderId="29" xfId="1" applyFont="1" applyFill="1" applyBorder="1" applyAlignment="1">
      <alignment vertical="center" shrinkToFit="1"/>
    </xf>
    <xf numFmtId="38" fontId="25" fillId="0" borderId="26" xfId="1" applyFont="1" applyFill="1" applyBorder="1" applyAlignment="1">
      <alignment vertical="center" shrinkToFit="1"/>
    </xf>
    <xf numFmtId="0" fontId="23" fillId="0" borderId="0" xfId="0" applyFont="1" applyBorder="1" applyAlignment="1" applyProtection="1">
      <alignment horizontal="center" vertical="center"/>
    </xf>
    <xf numFmtId="0" fontId="7" fillId="0" borderId="0" xfId="0" applyFont="1" applyBorder="1" applyAlignment="1" applyProtection="1">
      <alignment horizontal="left" vertical="center"/>
    </xf>
    <xf numFmtId="0" fontId="7" fillId="0" borderId="105" xfId="0" applyFont="1" applyBorder="1" applyAlignment="1" applyProtection="1">
      <alignment horizontal="center" vertical="center"/>
    </xf>
    <xf numFmtId="0" fontId="1" fillId="0" borderId="0" xfId="4">
      <alignment vertical="center"/>
    </xf>
    <xf numFmtId="187" fontId="1" fillId="0" borderId="0" xfId="4" applyNumberFormat="1">
      <alignment vertical="center"/>
    </xf>
    <xf numFmtId="0" fontId="2" fillId="0" borderId="0" xfId="0" applyFont="1" applyAlignment="1">
      <alignment horizontal="center" vertical="center"/>
    </xf>
    <xf numFmtId="0" fontId="8" fillId="0" borderId="0" xfId="0" applyFont="1" applyAlignment="1">
      <alignment horizontal="left" vertical="center" wrapText="1"/>
    </xf>
    <xf numFmtId="49" fontId="5" fillId="0" borderId="0" xfId="0" applyNumberFormat="1" applyFont="1" applyAlignment="1">
      <alignment horizontal="center" vertical="center"/>
    </xf>
    <xf numFmtId="0" fontId="11" fillId="0" borderId="0" xfId="0" applyFont="1" applyAlignment="1">
      <alignment vertical="center" wrapText="1" shrinkToFit="1"/>
    </xf>
    <xf numFmtId="0" fontId="18" fillId="0" borderId="0" xfId="0" applyFont="1" applyAlignment="1">
      <alignment vertical="center" wrapText="1"/>
    </xf>
    <xf numFmtId="0" fontId="5" fillId="0" borderId="0" xfId="0" applyFont="1" applyAlignment="1">
      <alignment horizontal="center" vertical="center" shrinkToFit="1"/>
    </xf>
    <xf numFmtId="0" fontId="5" fillId="0" borderId="0" xfId="0" applyFont="1" applyAlignment="1">
      <alignment vertical="center" wrapText="1"/>
    </xf>
    <xf numFmtId="0" fontId="7" fillId="0" borderId="0" xfId="0" applyFont="1" applyAlignment="1">
      <alignment vertical="center" shrinkToFit="1"/>
    </xf>
    <xf numFmtId="49" fontId="7" fillId="0" borderId="0" xfId="0" applyNumberFormat="1" applyFont="1" applyAlignment="1">
      <alignment horizontal="left" vertical="center" shrinkToFit="1"/>
    </xf>
    <xf numFmtId="0" fontId="102" fillId="0" borderId="0" xfId="0" applyFont="1" applyAlignment="1">
      <alignment vertical="center" wrapText="1"/>
    </xf>
    <xf numFmtId="176" fontId="5" fillId="0" borderId="0" xfId="0" applyNumberFormat="1" applyFont="1" applyAlignment="1">
      <alignment horizontal="right" vertical="center" shrinkToFit="1"/>
    </xf>
    <xf numFmtId="176" fontId="5" fillId="0" borderId="0" xfId="0" applyNumberFormat="1" applyFont="1" applyAlignment="1">
      <alignment horizontal="left" vertical="center" shrinkToFit="1"/>
    </xf>
    <xf numFmtId="176" fontId="57" fillId="0" borderId="0" xfId="0" applyNumberFormat="1" applyFont="1" applyAlignment="1">
      <alignment horizontal="left" vertical="center" shrinkToFit="1"/>
    </xf>
    <xf numFmtId="0" fontId="5" fillId="0" borderId="0" xfId="0" applyFont="1">
      <alignment vertical="center"/>
    </xf>
    <xf numFmtId="0" fontId="2" fillId="0" borderId="0" xfId="0" applyFont="1">
      <alignment vertical="center"/>
    </xf>
    <xf numFmtId="178" fontId="7" fillId="0" borderId="0" xfId="0" applyNumberFormat="1" applyFont="1" applyAlignment="1">
      <alignment horizontal="center" vertical="center"/>
    </xf>
    <xf numFmtId="0" fontId="23" fillId="0" borderId="0" xfId="0" applyFont="1">
      <alignment vertical="center"/>
    </xf>
    <xf numFmtId="0" fontId="7" fillId="0" borderId="0" xfId="0" applyFont="1">
      <alignment vertical="center"/>
    </xf>
    <xf numFmtId="0" fontId="46" fillId="0" borderId="0" xfId="0" applyFont="1">
      <alignment vertical="center"/>
    </xf>
    <xf numFmtId="176" fontId="5" fillId="0" borderId="0" xfId="0" applyNumberFormat="1" applyFont="1" applyAlignment="1">
      <alignment horizontal="left" vertical="center"/>
    </xf>
    <xf numFmtId="38" fontId="100" fillId="0" borderId="0" xfId="1" applyFont="1" applyAlignment="1">
      <alignment horizontal="right" vertical="center" shrinkToFit="1"/>
    </xf>
    <xf numFmtId="0" fontId="62" fillId="0" borderId="0" xfId="0" applyFont="1">
      <alignment vertical="center"/>
    </xf>
    <xf numFmtId="0" fontId="102" fillId="0" borderId="0" xfId="0" applyFont="1">
      <alignment vertical="center"/>
    </xf>
    <xf numFmtId="0" fontId="16" fillId="0" borderId="0" xfId="0" applyFont="1">
      <alignment vertical="center"/>
    </xf>
    <xf numFmtId="0" fontId="12" fillId="0" borderId="0" xfId="0" applyFont="1" applyAlignment="1">
      <alignment horizontal="center" vertical="center"/>
    </xf>
    <xf numFmtId="0" fontId="27" fillId="0" borderId="0" xfId="0" applyFont="1" applyAlignment="1">
      <alignment vertical="center" wrapText="1"/>
    </xf>
    <xf numFmtId="0" fontId="28" fillId="0" borderId="0" xfId="0" applyFont="1" applyAlignment="1">
      <alignment vertical="center" wrapText="1"/>
    </xf>
    <xf numFmtId="0" fontId="103" fillId="0" borderId="0" xfId="0" applyFont="1" applyAlignment="1">
      <alignment vertical="center" wrapText="1"/>
    </xf>
    <xf numFmtId="0" fontId="104" fillId="0" borderId="0" xfId="0" applyFont="1" applyAlignment="1">
      <alignment vertical="center" wrapText="1"/>
    </xf>
    <xf numFmtId="0" fontId="9" fillId="0" borderId="0" xfId="0" applyFont="1" applyAlignment="1">
      <alignment vertical="center" wrapText="1"/>
    </xf>
    <xf numFmtId="0" fontId="64" fillId="0" borderId="0" xfId="0" applyFont="1" applyAlignment="1">
      <alignment vertical="center" wrapText="1"/>
    </xf>
    <xf numFmtId="0" fontId="20" fillId="0" borderId="0" xfId="0" applyFont="1" applyAlignment="1">
      <alignment vertical="center" wrapText="1"/>
    </xf>
    <xf numFmtId="38" fontId="21" fillId="0" borderId="0" xfId="0" applyNumberFormat="1" applyFont="1" applyAlignment="1">
      <alignment vertical="center" wrapText="1"/>
    </xf>
    <xf numFmtId="0" fontId="22" fillId="0" borderId="0" xfId="0" applyFont="1" applyAlignment="1">
      <alignment vertical="center" wrapText="1"/>
    </xf>
    <xf numFmtId="0" fontId="10" fillId="0" borderId="0" xfId="0" applyFont="1" applyAlignment="1">
      <alignment vertical="center" wrapText="1"/>
    </xf>
    <xf numFmtId="0" fontId="12" fillId="0" borderId="0" xfId="0" applyFont="1">
      <alignment vertical="center"/>
    </xf>
    <xf numFmtId="0" fontId="5" fillId="2" borderId="2" xfId="0" applyFont="1" applyFill="1" applyBorder="1" applyAlignment="1">
      <alignment horizontal="center" vertical="center" wrapText="1"/>
    </xf>
    <xf numFmtId="49" fontId="5" fillId="2" borderId="2" xfId="0" applyNumberFormat="1" applyFont="1" applyFill="1" applyBorder="1" applyAlignment="1">
      <alignment horizontal="center" vertical="center"/>
    </xf>
    <xf numFmtId="0" fontId="5" fillId="2" borderId="3" xfId="0" applyFont="1" applyFill="1" applyBorder="1" applyAlignment="1">
      <alignment horizontal="center" vertical="center" wrapText="1" shrinkToFit="1"/>
    </xf>
    <xf numFmtId="0" fontId="5" fillId="2" borderId="4" xfId="0" applyFont="1" applyFill="1" applyBorder="1" applyAlignment="1">
      <alignment horizontal="center" vertical="center" wrapText="1"/>
    </xf>
    <xf numFmtId="0" fontId="11" fillId="2" borderId="2" xfId="0" applyFont="1" applyFill="1" applyBorder="1" applyAlignment="1">
      <alignment horizontal="center" vertical="center" wrapText="1" shrinkToFit="1"/>
    </xf>
    <xf numFmtId="0" fontId="102" fillId="2" borderId="5" xfId="0" applyFont="1" applyFill="1" applyBorder="1" applyAlignment="1">
      <alignment horizontal="center" vertical="center" wrapText="1"/>
    </xf>
    <xf numFmtId="38" fontId="105" fillId="2" borderId="5" xfId="1" applyFont="1" applyFill="1" applyBorder="1" applyAlignment="1">
      <alignment horizontal="center" vertical="center" shrinkToFit="1"/>
    </xf>
    <xf numFmtId="38" fontId="60" fillId="15" borderId="6" xfId="1" applyFont="1" applyFill="1" applyBorder="1" applyAlignment="1">
      <alignment horizontal="center" vertical="center" wrapText="1" shrinkToFit="1"/>
    </xf>
    <xf numFmtId="176" fontId="5" fillId="2" borderId="5" xfId="0" applyNumberFormat="1" applyFont="1" applyFill="1" applyBorder="1" applyAlignment="1">
      <alignment horizontal="center" vertical="center" wrapText="1" shrinkToFit="1"/>
    </xf>
    <xf numFmtId="0" fontId="32" fillId="0" borderId="0" xfId="0" applyFont="1" applyAlignment="1">
      <alignment horizontal="center" vertical="center"/>
    </xf>
    <xf numFmtId="0" fontId="8" fillId="0" borderId="34" xfId="0" applyFont="1" applyBorder="1" applyAlignment="1">
      <alignment horizontal="left" vertical="center" wrapText="1"/>
    </xf>
    <xf numFmtId="49" fontId="5" fillId="0" borderId="34" xfId="1" applyNumberFormat="1" applyFont="1" applyFill="1" applyBorder="1" applyAlignment="1">
      <alignment horizontal="center" vertical="center"/>
    </xf>
    <xf numFmtId="0" fontId="11" fillId="0" borderId="87" xfId="0" applyFont="1" applyBorder="1" applyAlignment="1">
      <alignment vertical="center" wrapText="1" shrinkToFit="1"/>
    </xf>
    <xf numFmtId="0" fontId="18" fillId="0" borderId="39" xfId="0" applyFont="1" applyBorder="1" applyAlignment="1">
      <alignment vertical="center" wrapText="1"/>
    </xf>
    <xf numFmtId="0" fontId="5" fillId="0" borderId="34" xfId="0" applyFont="1" applyBorder="1" applyAlignment="1">
      <alignment horizontal="center" vertical="center" shrinkToFit="1"/>
    </xf>
    <xf numFmtId="0" fontId="5" fillId="0" borderId="39" xfId="0" applyFont="1" applyBorder="1" applyAlignment="1">
      <alignment vertical="center" wrapText="1"/>
    </xf>
    <xf numFmtId="0" fontId="9" fillId="0" borderId="85" xfId="0" applyFont="1" applyBorder="1" applyAlignment="1">
      <alignment vertical="center" shrinkToFit="1"/>
    </xf>
    <xf numFmtId="49" fontId="9" fillId="0" borderId="41" xfId="0" applyNumberFormat="1" applyFont="1" applyBorder="1" applyAlignment="1">
      <alignment horizontal="left" vertical="center" shrinkToFit="1"/>
    </xf>
    <xf numFmtId="0" fontId="40" fillId="0" borderId="71" xfId="0" applyFont="1" applyBorder="1" applyAlignment="1">
      <alignment horizontal="center" vertical="center" shrinkToFit="1"/>
    </xf>
    <xf numFmtId="176" fontId="5" fillId="0" borderId="102" xfId="0" applyNumberFormat="1" applyFont="1" applyBorder="1" applyAlignment="1">
      <alignment horizontal="right" vertical="center" shrinkToFit="1"/>
    </xf>
    <xf numFmtId="0" fontId="5" fillId="0" borderId="39" xfId="0" applyFont="1" applyBorder="1" applyAlignment="1">
      <alignment horizontal="center" vertical="center" shrinkToFit="1"/>
    </xf>
    <xf numFmtId="176" fontId="5" fillId="0" borderId="41" xfId="0" applyNumberFormat="1" applyFont="1" applyBorder="1" applyAlignment="1">
      <alignment horizontal="left" vertical="center" shrinkToFit="1"/>
    </xf>
    <xf numFmtId="177" fontId="2" fillId="0" borderId="85" xfId="1" applyNumberFormat="1" applyFont="1" applyFill="1" applyBorder="1" applyAlignment="1">
      <alignment horizontal="right" vertical="center" shrinkToFit="1"/>
    </xf>
    <xf numFmtId="188" fontId="106" fillId="0" borderId="71" xfId="0" applyNumberFormat="1" applyFont="1" applyBorder="1" applyAlignment="1">
      <alignment horizontal="right" vertical="center" shrinkToFit="1"/>
    </xf>
    <xf numFmtId="177" fontId="9" fillId="0" borderId="85" xfId="1" applyNumberFormat="1" applyFont="1" applyFill="1" applyBorder="1" applyAlignment="1">
      <alignment vertical="center" shrinkToFit="1"/>
    </xf>
    <xf numFmtId="38" fontId="25" fillId="0" borderId="40" xfId="1" applyFont="1" applyFill="1" applyBorder="1" applyAlignment="1">
      <alignment vertical="center" shrinkToFit="1"/>
    </xf>
    <xf numFmtId="38" fontId="25" fillId="0" borderId="39" xfId="1" applyFont="1" applyFill="1" applyBorder="1" applyAlignment="1">
      <alignment vertical="center" shrinkToFit="1"/>
    </xf>
    <xf numFmtId="177" fontId="2" fillId="13" borderId="85" xfId="1" applyNumberFormat="1" applyFont="1" applyFill="1" applyBorder="1" applyAlignment="1">
      <alignment vertical="center" shrinkToFit="1"/>
    </xf>
    <xf numFmtId="177" fontId="7" fillId="0" borderId="85" xfId="1" applyNumberFormat="1" applyFont="1" applyFill="1" applyBorder="1" applyAlignment="1">
      <alignment vertical="center" shrinkToFit="1"/>
    </xf>
    <xf numFmtId="38" fontId="5" fillId="0" borderId="71" xfId="1" applyFont="1" applyFill="1" applyBorder="1" applyAlignment="1">
      <alignment vertical="center" shrinkToFit="1"/>
    </xf>
    <xf numFmtId="38" fontId="5" fillId="0" borderId="85" xfId="1" applyFont="1" applyFill="1" applyBorder="1" applyAlignment="1">
      <alignment vertical="center" shrinkToFit="1"/>
    </xf>
    <xf numFmtId="176" fontId="26" fillId="0" borderId="71" xfId="1" applyNumberFormat="1" applyFont="1" applyFill="1" applyBorder="1" applyAlignment="1">
      <alignment horizontal="center" vertical="center" shrinkToFit="1"/>
    </xf>
    <xf numFmtId="38" fontId="5" fillId="0" borderId="71" xfId="1" applyFont="1" applyFill="1" applyBorder="1" applyAlignment="1">
      <alignment horizontal="center" vertical="center" shrinkToFit="1"/>
    </xf>
    <xf numFmtId="38" fontId="2" fillId="0" borderId="71" xfId="1" applyFont="1" applyFill="1" applyBorder="1" applyAlignment="1">
      <alignment horizontal="right" vertical="center" shrinkToFit="1"/>
    </xf>
    <xf numFmtId="38" fontId="2" fillId="0" borderId="36" xfId="1" applyFont="1" applyFill="1" applyBorder="1" applyAlignment="1">
      <alignment vertical="center" shrinkToFit="1"/>
    </xf>
    <xf numFmtId="38" fontId="5" fillId="0" borderId="71" xfId="1" applyFont="1" applyFill="1" applyBorder="1" applyAlignment="1">
      <alignment horizontal="right" vertical="center" shrinkToFit="1"/>
    </xf>
    <xf numFmtId="38" fontId="5" fillId="0" borderId="39" xfId="1" applyFont="1" applyFill="1" applyBorder="1" applyAlignment="1">
      <alignment vertical="center" shrinkToFit="1"/>
    </xf>
    <xf numFmtId="38" fontId="5" fillId="0" borderId="34" xfId="1" applyFont="1" applyFill="1" applyBorder="1" applyAlignment="1">
      <alignment vertical="center" shrinkToFit="1"/>
    </xf>
    <xf numFmtId="177" fontId="5" fillId="0" borderId="39" xfId="1" applyNumberFormat="1" applyFont="1" applyFill="1" applyBorder="1" applyAlignment="1">
      <alignment vertical="center" shrinkToFit="1"/>
    </xf>
    <xf numFmtId="38" fontId="5" fillId="0" borderId="81" xfId="1" applyFont="1" applyFill="1" applyBorder="1" applyAlignment="1">
      <alignment vertical="center" shrinkToFit="1"/>
    </xf>
    <xf numFmtId="38" fontId="29" fillId="0" borderId="103" xfId="1" applyFont="1" applyFill="1" applyBorder="1" applyAlignment="1">
      <alignment vertical="center" shrinkToFit="1"/>
    </xf>
    <xf numFmtId="0" fontId="5" fillId="0" borderId="34" xfId="0" applyFont="1" applyBorder="1" applyAlignment="1">
      <alignment vertical="center" wrapText="1"/>
    </xf>
    <xf numFmtId="0" fontId="7" fillId="0" borderId="0" xfId="0" applyFont="1" applyAlignment="1">
      <alignment horizontal="center" vertical="center"/>
    </xf>
    <xf numFmtId="38" fontId="2" fillId="0" borderId="27" xfId="1" applyFont="1" applyBorder="1" applyAlignment="1">
      <alignment horizontal="right" vertical="center" shrinkToFit="1"/>
    </xf>
    <xf numFmtId="38" fontId="8" fillId="0" borderId="94" xfId="1" applyFont="1" applyFill="1" applyBorder="1" applyAlignment="1">
      <alignment horizontal="left" vertical="center" wrapText="1"/>
    </xf>
    <xf numFmtId="49" fontId="5" fillId="0" borderId="94" xfId="1" applyNumberFormat="1" applyFont="1" applyFill="1" applyBorder="1" applyAlignment="1">
      <alignment horizontal="center" vertical="center"/>
    </xf>
    <xf numFmtId="0" fontId="11" fillId="0" borderId="95" xfId="0" applyFont="1" applyBorder="1" applyAlignment="1">
      <alignment vertical="center" wrapText="1" shrinkToFit="1"/>
    </xf>
    <xf numFmtId="0" fontId="5" fillId="0" borderId="94" xfId="0" applyFont="1" applyBorder="1" applyAlignment="1">
      <alignment horizontal="center" vertical="center" shrinkToFit="1"/>
    </xf>
    <xf numFmtId="0" fontId="9" fillId="0" borderId="97" xfId="0" applyFont="1" applyBorder="1" applyAlignment="1">
      <alignment vertical="center" shrinkToFit="1"/>
    </xf>
    <xf numFmtId="0" fontId="40" fillId="0" borderId="42" xfId="0" applyFont="1" applyBorder="1" applyAlignment="1">
      <alignment vertical="center" shrinkToFit="1"/>
    </xf>
    <xf numFmtId="176" fontId="5" fillId="0" borderId="93" xfId="0" applyNumberFormat="1" applyFont="1" applyBorder="1" applyAlignment="1">
      <alignment horizontal="right" vertical="center" shrinkToFit="1"/>
    </xf>
    <xf numFmtId="177" fontId="2" fillId="0" borderId="97" xfId="1" applyNumberFormat="1" applyFont="1" applyFill="1" applyBorder="1" applyAlignment="1">
      <alignment horizontal="right" vertical="center" shrinkToFit="1"/>
    </xf>
    <xf numFmtId="188" fontId="106" fillId="0" borderId="96" xfId="0" applyNumberFormat="1" applyFont="1" applyBorder="1" applyAlignment="1">
      <alignment horizontal="right" vertical="center" shrinkToFit="1"/>
    </xf>
    <xf numFmtId="177" fontId="9" fillId="0" borderId="97" xfId="1" applyNumberFormat="1" applyFont="1" applyFill="1" applyBorder="1" applyAlignment="1">
      <alignment vertical="center" shrinkToFit="1"/>
    </xf>
    <xf numFmtId="38" fontId="25" fillId="0" borderId="98" xfId="1" applyFont="1" applyFill="1" applyBorder="1" applyAlignment="1">
      <alignment vertical="center" shrinkToFit="1"/>
    </xf>
    <xf numFmtId="38" fontId="25" fillId="0" borderId="0" xfId="1" applyFont="1" applyFill="1" applyBorder="1" applyAlignment="1">
      <alignment vertical="center" shrinkToFit="1"/>
    </xf>
    <xf numFmtId="177" fontId="2" fillId="13" borderId="97" xfId="1" applyNumberFormat="1" applyFont="1" applyFill="1" applyBorder="1" applyAlignment="1">
      <alignment vertical="center" shrinkToFit="1"/>
    </xf>
    <xf numFmtId="177" fontId="7" fillId="0" borderId="97" xfId="1" applyNumberFormat="1" applyFont="1" applyFill="1" applyBorder="1" applyAlignment="1">
      <alignment vertical="center" shrinkToFit="1"/>
    </xf>
    <xf numFmtId="38" fontId="5" fillId="0" borderId="96" xfId="1" applyFont="1" applyFill="1" applyBorder="1" applyAlignment="1">
      <alignment vertical="center" shrinkToFit="1"/>
    </xf>
    <xf numFmtId="38" fontId="5" fillId="0" borderId="97" xfId="1" applyFont="1" applyFill="1" applyBorder="1" applyAlignment="1">
      <alignment vertical="center" shrinkToFit="1"/>
    </xf>
    <xf numFmtId="176" fontId="26" fillId="0" borderId="96" xfId="1" applyNumberFormat="1" applyFont="1" applyFill="1" applyBorder="1" applyAlignment="1">
      <alignment horizontal="center" vertical="center" shrinkToFit="1"/>
    </xf>
    <xf numFmtId="38" fontId="5" fillId="0" borderId="96" xfId="1" applyFont="1" applyFill="1" applyBorder="1" applyAlignment="1">
      <alignment horizontal="center" vertical="center" shrinkToFit="1"/>
    </xf>
    <xf numFmtId="38" fontId="2" fillId="0" borderId="96" xfId="1" applyFont="1" applyFill="1" applyBorder="1" applyAlignment="1">
      <alignment horizontal="right" vertical="center" shrinkToFit="1"/>
    </xf>
    <xf numFmtId="38" fontId="2" fillId="0" borderId="100" xfId="1" applyFont="1" applyFill="1" applyBorder="1" applyAlignment="1">
      <alignment vertical="center" shrinkToFit="1"/>
    </xf>
    <xf numFmtId="38" fontId="5" fillId="0" borderId="0" xfId="1" applyFont="1" applyFill="1" applyBorder="1" applyAlignment="1">
      <alignment vertical="center" shrinkToFit="1"/>
    </xf>
    <xf numFmtId="38" fontId="50" fillId="0" borderId="94" xfId="1" applyFont="1" applyFill="1" applyBorder="1" applyAlignment="1">
      <alignment vertical="center" shrinkToFit="1"/>
    </xf>
    <xf numFmtId="177" fontId="50" fillId="0" borderId="0" xfId="1" applyNumberFormat="1" applyFont="1" applyFill="1" applyBorder="1" applyAlignment="1">
      <alignment vertical="center" shrinkToFit="1"/>
    </xf>
    <xf numFmtId="38" fontId="5" fillId="0" borderId="31" xfId="1" applyFont="1" applyFill="1" applyBorder="1" applyAlignment="1">
      <alignment vertical="center" shrinkToFit="1"/>
    </xf>
    <xf numFmtId="38" fontId="29" fillId="0" borderId="101" xfId="1" applyFont="1" applyFill="1" applyBorder="1" applyAlignment="1">
      <alignment vertical="center" shrinkToFit="1"/>
    </xf>
    <xf numFmtId="0" fontId="10" fillId="0" borderId="23" xfId="0" applyFont="1" applyBorder="1" applyAlignment="1">
      <alignment vertical="center" wrapText="1"/>
    </xf>
    <xf numFmtId="0" fontId="107" fillId="0" borderId="0" xfId="0" applyFont="1">
      <alignment vertical="center"/>
    </xf>
    <xf numFmtId="0" fontId="107" fillId="0" borderId="0" xfId="0" applyFont="1" applyAlignment="1">
      <alignment horizontal="center" vertical="center"/>
    </xf>
    <xf numFmtId="0" fontId="32" fillId="0" borderId="0" xfId="0" applyFont="1">
      <alignment vertical="center"/>
    </xf>
    <xf numFmtId="38" fontId="32" fillId="0" borderId="17" xfId="1" applyFont="1" applyBorder="1" applyAlignment="1">
      <alignment horizontal="right" vertical="center" shrinkToFit="1"/>
    </xf>
    <xf numFmtId="38" fontId="50" fillId="0" borderId="18" xfId="1" applyFont="1" applyBorder="1" applyAlignment="1">
      <alignment horizontal="center" vertical="center" shrinkToFit="1"/>
    </xf>
    <xf numFmtId="38" fontId="50" fillId="0" borderId="19" xfId="1" applyFont="1" applyBorder="1" applyAlignment="1">
      <alignment vertical="center" shrinkToFit="1"/>
    </xf>
    <xf numFmtId="38" fontId="108" fillId="0" borderId="20" xfId="1" applyFont="1" applyBorder="1" applyAlignment="1">
      <alignment vertical="center" shrinkToFit="1"/>
    </xf>
    <xf numFmtId="38" fontId="50" fillId="0" borderId="21" xfId="1" applyFont="1" applyBorder="1" applyAlignment="1">
      <alignment vertical="center" shrinkToFit="1"/>
    </xf>
    <xf numFmtId="38" fontId="8" fillId="0" borderId="23" xfId="1" applyFont="1" applyFill="1" applyBorder="1" applyAlignment="1">
      <alignment horizontal="left" vertical="center" wrapText="1"/>
    </xf>
    <xf numFmtId="49" fontId="5" fillId="0" borderId="23" xfId="1" applyNumberFormat="1" applyFont="1" applyFill="1" applyBorder="1" applyAlignment="1">
      <alignment horizontal="center" vertical="center"/>
    </xf>
    <xf numFmtId="0" fontId="11" fillId="0" borderId="24" xfId="0" applyFont="1" applyBorder="1" applyAlignment="1">
      <alignment vertical="center" wrapText="1" shrinkToFit="1"/>
    </xf>
    <xf numFmtId="0" fontId="18" fillId="0" borderId="25" xfId="0" applyFont="1" applyBorder="1" applyAlignment="1">
      <alignment vertical="center" wrapText="1"/>
    </xf>
    <xf numFmtId="0" fontId="5" fillId="0" borderId="23" xfId="0" applyFont="1" applyBorder="1" applyAlignment="1">
      <alignment horizontal="center" vertical="center" shrinkToFit="1"/>
    </xf>
    <xf numFmtId="0" fontId="5" fillId="11" borderId="26" xfId="0" applyFont="1" applyFill="1" applyBorder="1" applyAlignment="1">
      <alignment vertical="center" wrapText="1"/>
    </xf>
    <xf numFmtId="0" fontId="9" fillId="0" borderId="28" xfId="0" applyFont="1" applyBorder="1" applyAlignment="1">
      <alignment vertical="center" shrinkToFit="1"/>
    </xf>
    <xf numFmtId="0" fontId="65" fillId="11" borderId="42" xfId="0" applyFont="1" applyFill="1" applyBorder="1" applyAlignment="1">
      <alignment horizontal="center" vertical="center" shrinkToFit="1"/>
    </xf>
    <xf numFmtId="176" fontId="5" fillId="0" borderId="22" xfId="0" applyNumberFormat="1" applyFont="1" applyBorder="1" applyAlignment="1">
      <alignment horizontal="right" vertical="center" shrinkToFit="1"/>
    </xf>
    <xf numFmtId="0" fontId="5" fillId="0" borderId="26" xfId="0" applyFont="1" applyBorder="1" applyAlignment="1">
      <alignment horizontal="center" vertical="center" shrinkToFit="1"/>
    </xf>
    <xf numFmtId="176" fontId="5" fillId="0" borderId="26" xfId="0" applyNumberFormat="1" applyFont="1" applyBorder="1" applyAlignment="1">
      <alignment horizontal="left" vertical="center" shrinkToFit="1"/>
    </xf>
    <xf numFmtId="188" fontId="106" fillId="0" borderId="27" xfId="0" applyNumberFormat="1" applyFont="1" applyBorder="1" applyAlignment="1">
      <alignment horizontal="right" vertical="center" shrinkToFit="1"/>
    </xf>
    <xf numFmtId="177" fontId="2" fillId="13" borderId="28" xfId="1" applyNumberFormat="1" applyFont="1" applyFill="1" applyBorder="1" applyAlignment="1">
      <alignment vertical="center" shrinkToFit="1"/>
    </xf>
    <xf numFmtId="177" fontId="7" fillId="0" borderId="28" xfId="1" applyNumberFormat="1" applyFont="1" applyFill="1" applyBorder="1" applyAlignment="1">
      <alignment vertical="center" shrinkToFit="1"/>
    </xf>
    <xf numFmtId="38" fontId="5" fillId="0" borderId="27" xfId="1" applyFont="1" applyFill="1" applyBorder="1" applyAlignment="1">
      <alignment vertical="center" shrinkToFit="1"/>
    </xf>
    <xf numFmtId="38" fontId="5" fillId="0" borderId="28" xfId="1" applyFont="1" applyFill="1" applyBorder="1" applyAlignment="1">
      <alignment vertical="center" shrinkToFit="1"/>
    </xf>
    <xf numFmtId="38" fontId="5" fillId="0" borderId="27" xfId="1" applyFont="1" applyFill="1" applyBorder="1" applyAlignment="1">
      <alignment horizontal="center" vertical="center" shrinkToFit="1"/>
    </xf>
    <xf numFmtId="38" fontId="2" fillId="0" borderId="27" xfId="1" applyFont="1" applyFill="1" applyBorder="1" applyAlignment="1">
      <alignment horizontal="right" vertical="center" shrinkToFit="1"/>
    </xf>
    <xf numFmtId="38" fontId="2" fillId="0" borderId="30" xfId="1" applyFont="1" applyFill="1" applyBorder="1" applyAlignment="1">
      <alignment vertical="center" shrinkToFit="1"/>
    </xf>
    <xf numFmtId="38" fontId="5" fillId="0" borderId="27" xfId="1" applyFont="1" applyFill="1" applyBorder="1" applyAlignment="1">
      <alignment horizontal="right" vertical="center" shrinkToFit="1"/>
    </xf>
    <xf numFmtId="38" fontId="50" fillId="0" borderId="23" xfId="1" applyFont="1" applyFill="1" applyBorder="1" applyAlignment="1">
      <alignment vertical="center" shrinkToFit="1"/>
    </xf>
    <xf numFmtId="177" fontId="50" fillId="0" borderId="26" xfId="1" applyNumberFormat="1" applyFont="1" applyFill="1" applyBorder="1" applyAlignment="1">
      <alignment vertical="center" shrinkToFit="1"/>
    </xf>
    <xf numFmtId="38" fontId="29" fillId="0" borderId="32" xfId="1" applyFont="1" applyFill="1" applyBorder="1" applyAlignment="1">
      <alignment vertical="center" shrinkToFit="1"/>
    </xf>
    <xf numFmtId="0" fontId="18" fillId="0" borderId="26" xfId="0" applyFont="1" applyBorder="1" applyAlignment="1">
      <alignment vertical="center" wrapText="1"/>
    </xf>
    <xf numFmtId="0" fontId="5" fillId="0" borderId="26" xfId="0" applyFont="1" applyBorder="1" applyAlignment="1">
      <alignment vertical="center" wrapText="1"/>
    </xf>
    <xf numFmtId="0" fontId="65" fillId="0" borderId="71" xfId="0" applyFont="1" applyBorder="1" applyAlignment="1">
      <alignment vertical="center" shrinkToFit="1"/>
    </xf>
    <xf numFmtId="176" fontId="26" fillId="0" borderId="27" xfId="1" applyNumberFormat="1" applyFont="1" applyFill="1" applyBorder="1" applyAlignment="1">
      <alignment horizontal="center" vertical="center" shrinkToFit="1"/>
    </xf>
    <xf numFmtId="38" fontId="32" fillId="0" borderId="27" xfId="1" applyFont="1" applyBorder="1" applyAlignment="1">
      <alignment horizontal="right" vertical="center" shrinkToFit="1"/>
    </xf>
    <xf numFmtId="38" fontId="50" fillId="0" borderId="26" xfId="1" applyFont="1" applyBorder="1" applyAlignment="1">
      <alignment horizontal="center" vertical="center" shrinkToFit="1"/>
    </xf>
    <xf numFmtId="38" fontId="50" fillId="0" borderId="37" xfId="1" applyFont="1" applyBorder="1" applyAlignment="1">
      <alignment vertical="center" shrinkToFit="1"/>
    </xf>
    <xf numFmtId="38" fontId="108" fillId="0" borderId="29" xfId="1" applyFont="1" applyBorder="1" applyAlignment="1">
      <alignment vertical="center" shrinkToFit="1"/>
    </xf>
    <xf numFmtId="38" fontId="50" fillId="0" borderId="38" xfId="1" applyFont="1" applyBorder="1" applyAlignment="1">
      <alignment vertical="center" shrinkToFit="1"/>
    </xf>
    <xf numFmtId="0" fontId="65" fillId="0" borderId="27" xfId="0" applyFont="1" applyBorder="1" applyAlignment="1">
      <alignment horizontal="center" vertical="center" shrinkToFit="1"/>
    </xf>
    <xf numFmtId="176" fontId="5" fillId="0" borderId="39" xfId="0" applyNumberFormat="1" applyFont="1" applyBorder="1" applyAlignment="1">
      <alignment horizontal="left" vertical="center" shrinkToFit="1"/>
    </xf>
    <xf numFmtId="38" fontId="50" fillId="0" borderId="31" xfId="1" applyFont="1" applyFill="1" applyBorder="1" applyAlignment="1">
      <alignment vertical="center" shrinkToFit="1"/>
    </xf>
    <xf numFmtId="0" fontId="50" fillId="0" borderId="23" xfId="0" applyFont="1" applyBorder="1" applyAlignment="1">
      <alignment vertical="center" wrapText="1"/>
    </xf>
    <xf numFmtId="38" fontId="25" fillId="12" borderId="26" xfId="1" applyFont="1" applyFill="1" applyBorder="1" applyAlignment="1">
      <alignment vertical="center" shrinkToFit="1"/>
    </xf>
    <xf numFmtId="0" fontId="5" fillId="0" borderId="23" xfId="0" applyFont="1" applyBorder="1" applyAlignment="1">
      <alignment vertical="center" wrapText="1"/>
    </xf>
    <xf numFmtId="49" fontId="9" fillId="0" borderId="99" xfId="0" applyNumberFormat="1" applyFont="1" applyBorder="1" applyAlignment="1">
      <alignment horizontal="left" vertical="center" shrinkToFit="1"/>
    </xf>
    <xf numFmtId="179" fontId="5" fillId="0" borderId="22" xfId="0" applyNumberFormat="1" applyFont="1" applyBorder="1" applyAlignment="1">
      <alignment horizontal="right" vertical="center" shrinkToFit="1"/>
    </xf>
    <xf numFmtId="177" fontId="7" fillId="10" borderId="28" xfId="1" applyNumberFormat="1" applyFont="1" applyFill="1" applyBorder="1" applyAlignment="1">
      <alignment vertical="center" shrinkToFit="1"/>
    </xf>
    <xf numFmtId="38" fontId="5" fillId="10" borderId="27" xfId="1" applyFont="1" applyFill="1" applyBorder="1" applyAlignment="1">
      <alignment vertical="center" shrinkToFit="1"/>
    </xf>
    <xf numFmtId="38" fontId="5" fillId="10" borderId="28" xfId="1" applyFont="1" applyFill="1" applyBorder="1" applyAlignment="1">
      <alignment vertical="center" shrinkToFit="1"/>
    </xf>
    <xf numFmtId="176" fontId="26" fillId="10" borderId="27" xfId="1" applyNumberFormat="1" applyFont="1" applyFill="1" applyBorder="1" applyAlignment="1">
      <alignment horizontal="center" vertical="center" shrinkToFit="1"/>
    </xf>
    <xf numFmtId="38" fontId="5" fillId="10" borderId="27" xfId="1" applyFont="1" applyFill="1" applyBorder="1" applyAlignment="1">
      <alignment horizontal="center" vertical="center" shrinkToFit="1"/>
    </xf>
    <xf numFmtId="38" fontId="2" fillId="10" borderId="27" xfId="1" applyFont="1" applyFill="1" applyBorder="1" applyAlignment="1">
      <alignment horizontal="right" vertical="center" shrinkToFit="1"/>
    </xf>
    <xf numFmtId="38" fontId="2" fillId="10" borderId="36" xfId="1" applyFont="1" applyFill="1" applyBorder="1" applyAlignment="1">
      <alignment vertical="center" shrinkToFit="1"/>
    </xf>
    <xf numFmtId="38" fontId="5" fillId="10" borderId="26" xfId="1" applyFont="1" applyFill="1" applyBorder="1" applyAlignment="1">
      <alignment vertical="center" shrinkToFit="1"/>
    </xf>
    <xf numFmtId="38" fontId="50" fillId="10" borderId="23" xfId="1" applyFont="1" applyFill="1" applyBorder="1" applyAlignment="1">
      <alignment vertical="center" shrinkToFit="1"/>
    </xf>
    <xf numFmtId="177" fontId="50" fillId="10" borderId="26" xfId="1" applyNumberFormat="1" applyFont="1" applyFill="1" applyBorder="1" applyAlignment="1">
      <alignment vertical="center" shrinkToFit="1"/>
    </xf>
    <xf numFmtId="38" fontId="50" fillId="10" borderId="31" xfId="1" applyFont="1" applyFill="1" applyBorder="1" applyAlignment="1">
      <alignment vertical="center" shrinkToFit="1"/>
    </xf>
    <xf numFmtId="38" fontId="29" fillId="10" borderId="32" xfId="1" applyFont="1" applyFill="1" applyBorder="1" applyAlignment="1">
      <alignment vertical="center" shrinkToFit="1"/>
    </xf>
    <xf numFmtId="0" fontId="50" fillId="10" borderId="23" xfId="0" applyFont="1" applyFill="1" applyBorder="1" applyAlignment="1">
      <alignment vertical="center" wrapText="1"/>
    </xf>
    <xf numFmtId="49" fontId="5" fillId="0" borderId="23" xfId="0" applyNumberFormat="1" applyFont="1" applyBorder="1" applyAlignment="1">
      <alignment horizontal="center" vertical="center"/>
    </xf>
    <xf numFmtId="49" fontId="9" fillId="0" borderId="33" xfId="0" applyNumberFormat="1" applyFont="1" applyBorder="1" applyAlignment="1">
      <alignment horizontal="left" vertical="center" shrinkToFit="1"/>
    </xf>
    <xf numFmtId="0" fontId="65" fillId="11" borderId="27" xfId="0" applyFont="1" applyFill="1" applyBorder="1" applyAlignment="1">
      <alignment horizontal="center" vertical="center" shrinkToFit="1"/>
    </xf>
    <xf numFmtId="38" fontId="2" fillId="0" borderId="36" xfId="1" applyFont="1" applyBorder="1" applyAlignment="1">
      <alignment vertical="center" shrinkToFit="1"/>
    </xf>
    <xf numFmtId="38" fontId="29" fillId="0" borderId="32" xfId="1" applyFont="1" applyBorder="1" applyAlignment="1">
      <alignment vertical="center" shrinkToFit="1"/>
    </xf>
    <xf numFmtId="0" fontId="67" fillId="0" borderId="0" xfId="0" applyFont="1" applyAlignment="1">
      <alignment horizontal="center" vertical="center"/>
    </xf>
    <xf numFmtId="0" fontId="62" fillId="0" borderId="26" xfId="0" applyFont="1" applyBorder="1" applyAlignment="1">
      <alignment horizontal="center" vertical="center" shrinkToFit="1"/>
    </xf>
    <xf numFmtId="188" fontId="105" fillId="0" borderId="27" xfId="0" applyNumberFormat="1" applyFont="1" applyBorder="1" applyAlignment="1">
      <alignment horizontal="right" vertical="center" shrinkToFit="1"/>
    </xf>
    <xf numFmtId="177" fontId="66" fillId="13" borderId="28" xfId="1" applyNumberFormat="1" applyFont="1" applyFill="1" applyBorder="1" applyAlignment="1">
      <alignment vertical="center" shrinkToFit="1"/>
    </xf>
    <xf numFmtId="38" fontId="109" fillId="0" borderId="32" xfId="1" applyFont="1" applyBorder="1" applyAlignment="1">
      <alignment vertical="center" shrinkToFit="1"/>
    </xf>
    <xf numFmtId="0" fontId="70" fillId="0" borderId="0" xfId="0" applyFont="1">
      <alignment vertical="center"/>
    </xf>
    <xf numFmtId="0" fontId="70" fillId="0" borderId="0" xfId="0" applyFont="1" applyAlignment="1">
      <alignment horizontal="center" vertical="center"/>
    </xf>
    <xf numFmtId="0" fontId="67" fillId="0" borderId="0" xfId="0" applyFont="1">
      <alignment vertical="center"/>
    </xf>
    <xf numFmtId="0" fontId="69" fillId="0" borderId="34" xfId="0" applyFont="1" applyBorder="1" applyAlignment="1">
      <alignment horizontal="left" vertical="center" wrapText="1"/>
    </xf>
    <xf numFmtId="49" fontId="68" fillId="0" borderId="23" xfId="0" applyNumberFormat="1" applyFont="1" applyBorder="1" applyAlignment="1">
      <alignment horizontal="center" vertical="center"/>
    </xf>
    <xf numFmtId="0" fontId="72" fillId="0" borderId="24" xfId="0" applyFont="1" applyBorder="1" applyAlignment="1">
      <alignment vertical="center" wrapText="1" shrinkToFit="1"/>
    </xf>
    <xf numFmtId="0" fontId="73" fillId="0" borderId="26" xfId="0" applyFont="1" applyBorder="1" applyAlignment="1">
      <alignment vertical="center" wrapText="1"/>
    </xf>
    <xf numFmtId="0" fontId="68" fillId="0" borderId="23" xfId="0" applyFont="1" applyBorder="1" applyAlignment="1">
      <alignment horizontal="center" vertical="center" shrinkToFit="1"/>
    </xf>
    <xf numFmtId="0" fontId="75" fillId="0" borderId="28" xfId="0" applyFont="1" applyBorder="1" applyAlignment="1">
      <alignment vertical="center" shrinkToFit="1"/>
    </xf>
    <xf numFmtId="49" fontId="75" fillId="0" borderId="33" xfId="0" applyNumberFormat="1" applyFont="1" applyBorder="1" applyAlignment="1">
      <alignment horizontal="left" vertical="center" shrinkToFit="1"/>
    </xf>
    <xf numFmtId="0" fontId="74" fillId="0" borderId="27" xfId="0" applyFont="1" applyBorder="1" applyAlignment="1">
      <alignment horizontal="center" vertical="center" shrinkToFit="1"/>
    </xf>
    <xf numFmtId="177" fontId="75" fillId="0" borderId="28" xfId="1" applyNumberFormat="1" applyFont="1" applyFill="1" applyBorder="1" applyAlignment="1">
      <alignment vertical="center" shrinkToFit="1"/>
    </xf>
    <xf numFmtId="38" fontId="71" fillId="11" borderId="26" xfId="1" applyFont="1" applyFill="1" applyBorder="1" applyAlignment="1">
      <alignment vertical="center" shrinkToFit="1"/>
    </xf>
    <xf numFmtId="0" fontId="77" fillId="0" borderId="23" xfId="0" applyFont="1" applyBorder="1" applyAlignment="1">
      <alignment vertical="center" wrapText="1"/>
    </xf>
    <xf numFmtId="0" fontId="8" fillId="0" borderId="23" xfId="0" applyFont="1" applyBorder="1" applyAlignment="1">
      <alignment horizontal="left" vertical="center" wrapText="1"/>
    </xf>
    <xf numFmtId="0" fontId="5" fillId="11" borderId="22" xfId="0" applyFont="1" applyFill="1" applyBorder="1" applyAlignment="1">
      <alignment vertical="center" wrapText="1"/>
    </xf>
    <xf numFmtId="38" fontId="10" fillId="0" borderId="23" xfId="0" applyNumberFormat="1" applyFont="1" applyBorder="1" applyAlignment="1">
      <alignment vertical="center" wrapText="1"/>
    </xf>
    <xf numFmtId="38" fontId="69" fillId="0" borderId="23" xfId="0" applyNumberFormat="1" applyFont="1" applyBorder="1" applyAlignment="1">
      <alignment horizontal="left" vertical="center" wrapText="1"/>
    </xf>
    <xf numFmtId="0" fontId="68" fillId="0" borderId="26" xfId="0" applyFont="1" applyBorder="1" applyAlignment="1">
      <alignment vertical="center" wrapText="1"/>
    </xf>
    <xf numFmtId="176" fontId="68" fillId="0" borderId="22" xfId="0" applyNumberFormat="1" applyFont="1" applyBorder="1" applyAlignment="1">
      <alignment horizontal="right" vertical="center" shrinkToFit="1"/>
    </xf>
    <xf numFmtId="176" fontId="68" fillId="0" borderId="26" xfId="0" applyNumberFormat="1" applyFont="1" applyBorder="1" applyAlignment="1">
      <alignment horizontal="left" vertical="center" shrinkToFit="1"/>
    </xf>
    <xf numFmtId="177" fontId="5" fillId="0" borderId="23" xfId="0" applyNumberFormat="1" applyFont="1" applyBorder="1" applyAlignment="1">
      <alignment vertical="center" wrapText="1"/>
    </xf>
    <xf numFmtId="38" fontId="8" fillId="0" borderId="48" xfId="1" applyFont="1" applyFill="1" applyBorder="1" applyAlignment="1">
      <alignment horizontal="left" vertical="center" wrapText="1"/>
    </xf>
    <xf numFmtId="49" fontId="5" fillId="0" borderId="48" xfId="0" applyNumberFormat="1" applyFont="1" applyBorder="1" applyAlignment="1">
      <alignment horizontal="center" vertical="center"/>
    </xf>
    <xf numFmtId="0" fontId="11" fillId="0" borderId="49" xfId="0" applyFont="1" applyBorder="1" applyAlignment="1">
      <alignment vertical="center" wrapText="1" shrinkToFit="1"/>
    </xf>
    <xf numFmtId="0" fontId="18" fillId="0" borderId="46" xfId="0" applyFont="1" applyBorder="1" applyAlignment="1">
      <alignment vertical="center" wrapText="1"/>
    </xf>
    <xf numFmtId="0" fontId="5" fillId="0" borderId="48" xfId="0" applyFont="1" applyBorder="1" applyAlignment="1">
      <alignment horizontal="center" vertical="center" shrinkToFit="1"/>
    </xf>
    <xf numFmtId="0" fontId="5" fillId="0" borderId="46" xfId="0" applyFont="1" applyBorder="1" applyAlignment="1">
      <alignment vertical="center" wrapText="1"/>
    </xf>
    <xf numFmtId="0" fontId="9" fillId="0" borderId="44" xfId="0" applyFont="1" applyBorder="1" applyAlignment="1">
      <alignment vertical="center" shrinkToFit="1"/>
    </xf>
    <xf numFmtId="49" fontId="9" fillId="0" borderId="51" xfId="0" applyNumberFormat="1" applyFont="1" applyBorder="1" applyAlignment="1">
      <alignment horizontal="left" vertical="center" shrinkToFit="1"/>
    </xf>
    <xf numFmtId="0" fontId="65" fillId="0" borderId="42" xfId="0" applyFont="1" applyBorder="1" applyAlignment="1">
      <alignment horizontal="center" vertical="center" shrinkToFit="1"/>
    </xf>
    <xf numFmtId="176" fontId="5" fillId="0" borderId="47" xfId="0" applyNumberFormat="1" applyFont="1" applyBorder="1" applyAlignment="1">
      <alignment horizontal="right" vertical="center" shrinkToFit="1"/>
    </xf>
    <xf numFmtId="176" fontId="5" fillId="0" borderId="46" xfId="0" applyNumberFormat="1" applyFont="1" applyBorder="1" applyAlignment="1">
      <alignment horizontal="left" vertical="center" shrinkToFit="1"/>
    </xf>
    <xf numFmtId="177" fontId="2" fillId="0" borderId="44" xfId="1" applyNumberFormat="1" applyFont="1" applyFill="1" applyBorder="1" applyAlignment="1">
      <alignment horizontal="right" vertical="center" shrinkToFit="1"/>
    </xf>
    <xf numFmtId="188" fontId="105" fillId="0" borderId="42" xfId="0" applyNumberFormat="1" applyFont="1" applyBorder="1" applyAlignment="1">
      <alignment horizontal="right" vertical="center" shrinkToFit="1"/>
    </xf>
    <xf numFmtId="38" fontId="25" fillId="0" borderId="45" xfId="1" applyFont="1" applyFill="1" applyBorder="1" applyAlignment="1">
      <alignment vertical="center" shrinkToFit="1"/>
    </xf>
    <xf numFmtId="38" fontId="25" fillId="0" borderId="46" xfId="1" applyFont="1" applyFill="1" applyBorder="1" applyAlignment="1">
      <alignment vertical="center" shrinkToFit="1"/>
    </xf>
    <xf numFmtId="38" fontId="29" fillId="0" borderId="50" xfId="1" applyFont="1" applyBorder="1" applyAlignment="1">
      <alignment vertical="center" shrinkToFit="1"/>
    </xf>
    <xf numFmtId="177" fontId="10" fillId="0" borderId="48" xfId="0" applyNumberFormat="1" applyFont="1" applyBorder="1" applyAlignment="1">
      <alignment vertical="center" wrapText="1"/>
    </xf>
    <xf numFmtId="0" fontId="8" fillId="0" borderId="55" xfId="0" applyFont="1" applyBorder="1" applyAlignment="1">
      <alignment horizontal="left" vertical="center" wrapText="1"/>
    </xf>
    <xf numFmtId="49" fontId="5" fillId="0" borderId="55" xfId="0" applyNumberFormat="1" applyFont="1" applyBorder="1" applyAlignment="1">
      <alignment horizontal="center" vertical="center"/>
    </xf>
    <xf numFmtId="0" fontId="11" fillId="0" borderId="56" xfId="0" applyFont="1" applyBorder="1" applyAlignment="1">
      <alignment vertical="center" wrapText="1" shrinkToFit="1"/>
    </xf>
    <xf numFmtId="0" fontId="36" fillId="0" borderId="57" xfId="0" applyFont="1" applyBorder="1">
      <alignment vertical="center"/>
    </xf>
    <xf numFmtId="0" fontId="5" fillId="0" borderId="55" xfId="0" applyFont="1" applyBorder="1" applyAlignment="1">
      <alignment horizontal="center" vertical="center" shrinkToFit="1"/>
    </xf>
    <xf numFmtId="38" fontId="5" fillId="0" borderId="57" xfId="0" applyNumberFormat="1" applyFont="1" applyBorder="1" applyAlignment="1">
      <alignment vertical="center" wrapText="1"/>
    </xf>
    <xf numFmtId="0" fontId="7" fillId="0" borderId="59" xfId="0" applyFont="1" applyBorder="1" applyAlignment="1">
      <alignment vertical="center" shrinkToFit="1"/>
    </xf>
    <xf numFmtId="49" fontId="7" fillId="0" borderId="64" xfId="0" applyNumberFormat="1" applyFont="1" applyBorder="1" applyAlignment="1">
      <alignment horizontal="left" vertical="center" shrinkToFit="1"/>
    </xf>
    <xf numFmtId="38" fontId="65" fillId="0" borderId="58" xfId="0" applyNumberFormat="1" applyFont="1" applyBorder="1" applyAlignment="1">
      <alignment horizontal="center" vertical="center" shrinkToFit="1"/>
    </xf>
    <xf numFmtId="176" fontId="5" fillId="0" borderId="54" xfId="0" applyNumberFormat="1" applyFont="1" applyBorder="1" applyAlignment="1">
      <alignment horizontal="right" vertical="center" shrinkToFit="1"/>
    </xf>
    <xf numFmtId="0" fontId="5" fillId="0" borderId="57" xfId="0" applyFont="1" applyBorder="1" applyAlignment="1">
      <alignment horizontal="center" vertical="center" shrinkToFit="1"/>
    </xf>
    <xf numFmtId="176" fontId="5" fillId="0" borderId="57" xfId="0" applyNumberFormat="1" applyFont="1" applyBorder="1" applyAlignment="1">
      <alignment horizontal="left" vertical="center" shrinkToFit="1"/>
    </xf>
    <xf numFmtId="177" fontId="2" fillId="0" borderId="59" xfId="1" applyNumberFormat="1" applyFont="1" applyFill="1" applyBorder="1" applyAlignment="1">
      <alignment horizontal="right" vertical="center" shrinkToFit="1"/>
    </xf>
    <xf numFmtId="188" fontId="105" fillId="0" borderId="58" xfId="0" applyNumberFormat="1" applyFont="1" applyBorder="1" applyAlignment="1">
      <alignment horizontal="right" vertical="center" shrinkToFit="1"/>
    </xf>
    <xf numFmtId="177" fontId="9" fillId="0" borderId="59" xfId="1" applyNumberFormat="1" applyFont="1" applyFill="1" applyBorder="1" applyAlignment="1">
      <alignment vertical="center" shrinkToFit="1"/>
    </xf>
    <xf numFmtId="38" fontId="25" fillId="0" borderId="60" xfId="1" applyFont="1" applyFill="1" applyBorder="1" applyAlignment="1">
      <alignment vertical="center" shrinkToFit="1"/>
    </xf>
    <xf numFmtId="38" fontId="25" fillId="0" borderId="57" xfId="1" applyFont="1" applyFill="1" applyBorder="1" applyAlignment="1">
      <alignment vertical="center" shrinkToFit="1"/>
    </xf>
    <xf numFmtId="177" fontId="66" fillId="13" borderId="59" xfId="1" applyNumberFormat="1" applyFont="1" applyFill="1" applyBorder="1" applyAlignment="1">
      <alignment vertical="center" shrinkToFit="1"/>
    </xf>
    <xf numFmtId="177" fontId="7" fillId="0" borderId="59" xfId="1" applyNumberFormat="1" applyFont="1" applyFill="1" applyBorder="1" applyAlignment="1">
      <alignment vertical="center" shrinkToFit="1"/>
    </xf>
    <xf numFmtId="38" fontId="5" fillId="0" borderId="58" xfId="1" applyFont="1" applyFill="1" applyBorder="1" applyAlignment="1">
      <alignment horizontal="right" vertical="center" shrinkToFit="1"/>
    </xf>
    <xf numFmtId="38" fontId="29" fillId="0" borderId="63" xfId="1" applyFont="1" applyBorder="1" applyAlignment="1">
      <alignment vertical="center" shrinkToFit="1"/>
    </xf>
    <xf numFmtId="180" fontId="10" fillId="10" borderId="55" xfId="0" applyNumberFormat="1" applyFont="1" applyFill="1" applyBorder="1" applyAlignment="1">
      <alignment vertical="center" wrapText="1"/>
    </xf>
    <xf numFmtId="0" fontId="8" fillId="0" borderId="68" xfId="0" applyFont="1" applyBorder="1" applyAlignment="1">
      <alignment horizontal="left" vertical="center" wrapText="1"/>
    </xf>
    <xf numFmtId="49" fontId="5" fillId="0" borderId="68" xfId="0" applyNumberFormat="1" applyFont="1" applyBorder="1" applyAlignment="1">
      <alignment horizontal="center" vertical="center"/>
    </xf>
    <xf numFmtId="0" fontId="11" fillId="0" borderId="69" xfId="0" applyFont="1" applyBorder="1" applyAlignment="1">
      <alignment vertical="center" wrapText="1" shrinkToFit="1"/>
    </xf>
    <xf numFmtId="0" fontId="18" fillId="0" borderId="70" xfId="0" applyFont="1" applyBorder="1" applyAlignment="1">
      <alignment vertical="center" wrapText="1"/>
    </xf>
    <xf numFmtId="0" fontId="5" fillId="0" borderId="68" xfId="0" applyFont="1" applyBorder="1" applyAlignment="1">
      <alignment horizontal="center" vertical="center" shrinkToFit="1"/>
    </xf>
    <xf numFmtId="0" fontId="5" fillId="0" borderId="70" xfId="0" applyFont="1" applyBorder="1" applyAlignment="1">
      <alignment vertical="center" wrapText="1"/>
    </xf>
    <xf numFmtId="0" fontId="9" fillId="0" borderId="74" xfId="0" applyFont="1" applyBorder="1" applyAlignment="1">
      <alignment vertical="center" shrinkToFit="1"/>
    </xf>
    <xf numFmtId="49" fontId="9" fillId="0" borderId="77" xfId="0" applyNumberFormat="1" applyFont="1" applyBorder="1" applyAlignment="1">
      <alignment horizontal="left" vertical="center" shrinkToFit="1"/>
    </xf>
    <xf numFmtId="0" fontId="65" fillId="0" borderId="71" xfId="0" applyFont="1" applyBorder="1" applyAlignment="1">
      <alignment horizontal="center" vertical="center" shrinkToFit="1"/>
    </xf>
    <xf numFmtId="38" fontId="25" fillId="0" borderId="72" xfId="1" applyFont="1" applyFill="1" applyBorder="1" applyAlignment="1">
      <alignment vertical="center" shrinkToFit="1"/>
    </xf>
    <xf numFmtId="38" fontId="25" fillId="0" borderId="70" xfId="1" applyFont="1" applyFill="1" applyBorder="1" applyAlignment="1">
      <alignment vertical="center" shrinkToFit="1"/>
    </xf>
    <xf numFmtId="38" fontId="29" fillId="0" borderId="76" xfId="1" applyFont="1" applyBorder="1" applyAlignment="1">
      <alignment vertical="center" shrinkToFit="1"/>
    </xf>
    <xf numFmtId="177" fontId="5" fillId="0" borderId="141" xfId="1" applyNumberFormat="1" applyFont="1" applyBorder="1" applyAlignment="1">
      <alignment vertical="center" shrinkToFit="1"/>
    </xf>
    <xf numFmtId="0" fontId="0" fillId="0" borderId="0" xfId="0" applyAlignment="1">
      <alignment horizontal="center" vertical="center"/>
    </xf>
    <xf numFmtId="0" fontId="5" fillId="0" borderId="22" xfId="0" applyFont="1" applyBorder="1" applyAlignment="1">
      <alignment vertical="center" wrapText="1"/>
    </xf>
    <xf numFmtId="177" fontId="7" fillId="0" borderId="27" xfId="1" applyNumberFormat="1" applyFont="1" applyFill="1" applyBorder="1" applyAlignment="1">
      <alignment vertical="center" shrinkToFit="1"/>
    </xf>
    <xf numFmtId="38" fontId="68" fillId="0" borderId="27" xfId="1" applyFont="1" applyFill="1" applyBorder="1" applyAlignment="1">
      <alignment horizontal="right" vertical="center" shrinkToFit="1"/>
    </xf>
    <xf numFmtId="0" fontId="68" fillId="0" borderId="23" xfId="0" applyFont="1" applyBorder="1" applyAlignment="1">
      <alignment vertical="center" wrapText="1"/>
    </xf>
    <xf numFmtId="0" fontId="5" fillId="11" borderId="46" xfId="0" applyFont="1" applyFill="1" applyBorder="1" applyAlignment="1">
      <alignment vertical="center" wrapText="1"/>
    </xf>
    <xf numFmtId="177" fontId="7" fillId="0" borderId="5" xfId="1" applyNumberFormat="1" applyFont="1" applyFill="1" applyBorder="1" applyAlignment="1">
      <alignment vertical="center" shrinkToFit="1"/>
    </xf>
    <xf numFmtId="177" fontId="7" fillId="0" borderId="58" xfId="1" applyNumberFormat="1" applyFont="1" applyFill="1" applyBorder="1" applyAlignment="1">
      <alignment vertical="center" shrinkToFit="1"/>
    </xf>
    <xf numFmtId="177" fontId="10" fillId="10" borderId="55" xfId="0" applyNumberFormat="1" applyFont="1" applyFill="1" applyBorder="1" applyAlignment="1">
      <alignment vertical="center" wrapText="1"/>
    </xf>
    <xf numFmtId="49" fontId="5" fillId="0" borderId="34" xfId="0" applyNumberFormat="1" applyFont="1" applyBorder="1" applyAlignment="1">
      <alignment horizontal="center" vertical="center"/>
    </xf>
    <xf numFmtId="0" fontId="5" fillId="11" borderId="39" xfId="0" applyFont="1" applyFill="1" applyBorder="1" applyAlignment="1">
      <alignment vertical="center" wrapText="1"/>
    </xf>
    <xf numFmtId="0" fontId="65" fillId="11" borderId="71" xfId="0" applyFont="1" applyFill="1" applyBorder="1" applyAlignment="1">
      <alignment horizontal="center" vertical="center" shrinkToFit="1"/>
    </xf>
    <xf numFmtId="0" fontId="62" fillId="0" borderId="39" xfId="0" applyFont="1" applyBorder="1" applyAlignment="1">
      <alignment horizontal="center" vertical="center" shrinkToFit="1"/>
    </xf>
    <xf numFmtId="188" fontId="105" fillId="0" borderId="71" xfId="0" applyNumberFormat="1" applyFont="1" applyBorder="1" applyAlignment="1">
      <alignment horizontal="right" vertical="center" shrinkToFit="1"/>
    </xf>
    <xf numFmtId="177" fontId="66" fillId="13" borderId="85" xfId="1" applyNumberFormat="1" applyFont="1" applyFill="1" applyBorder="1" applyAlignment="1">
      <alignment vertical="center" shrinkToFit="1"/>
    </xf>
    <xf numFmtId="38" fontId="5" fillId="0" borderId="71" xfId="1" applyFont="1" applyBorder="1" applyAlignment="1">
      <alignment horizontal="center" vertical="center" shrinkToFit="1"/>
    </xf>
    <xf numFmtId="38" fontId="29" fillId="0" borderId="103" xfId="1" applyFont="1" applyBorder="1" applyAlignment="1">
      <alignment vertical="center" shrinkToFit="1"/>
    </xf>
    <xf numFmtId="0" fontId="10" fillId="0" borderId="34" xfId="0" applyFont="1" applyBorder="1" applyAlignment="1">
      <alignment vertical="center" wrapText="1"/>
    </xf>
    <xf numFmtId="0" fontId="40" fillId="0" borderId="27" xfId="0" applyFont="1" applyBorder="1" applyAlignment="1">
      <alignment horizontal="center" vertical="center" shrinkToFit="1"/>
    </xf>
    <xf numFmtId="177" fontId="7" fillId="0" borderId="106" xfId="1" applyNumberFormat="1" applyFont="1" applyFill="1" applyBorder="1" applyAlignment="1">
      <alignment vertical="center" shrinkToFit="1"/>
    </xf>
    <xf numFmtId="38" fontId="0" fillId="8" borderId="36" xfId="1" applyFont="1" applyFill="1" applyBorder="1" applyAlignment="1">
      <alignment vertical="center" shrinkToFit="1"/>
    </xf>
    <xf numFmtId="0" fontId="10" fillId="0" borderId="55" xfId="0" applyFont="1" applyBorder="1" applyAlignment="1">
      <alignment vertical="center" wrapText="1"/>
    </xf>
    <xf numFmtId="38" fontId="8" fillId="0" borderId="68" xfId="0" applyNumberFormat="1" applyFont="1" applyBorder="1" applyAlignment="1">
      <alignment horizontal="left" vertical="center" wrapText="1"/>
    </xf>
    <xf numFmtId="0" fontId="5" fillId="11" borderId="70" xfId="0" applyFont="1" applyFill="1" applyBorder="1" applyAlignment="1">
      <alignment vertical="center" wrapText="1"/>
    </xf>
    <xf numFmtId="0" fontId="65" fillId="11" borderId="73" xfId="0" applyFont="1" applyFill="1" applyBorder="1" applyAlignment="1">
      <alignment horizontal="center" vertical="center" shrinkToFit="1"/>
    </xf>
    <xf numFmtId="176" fontId="5" fillId="0" borderId="67" xfId="0" applyNumberFormat="1" applyFont="1" applyBorder="1" applyAlignment="1">
      <alignment horizontal="right" vertical="center" shrinkToFit="1"/>
    </xf>
    <xf numFmtId="176" fontId="5" fillId="0" borderId="70" xfId="0" applyNumberFormat="1" applyFont="1" applyBorder="1" applyAlignment="1">
      <alignment horizontal="left" vertical="center" shrinkToFit="1"/>
    </xf>
    <xf numFmtId="38" fontId="8" fillId="0" borderId="23" xfId="0" applyNumberFormat="1" applyFont="1" applyBorder="1" applyAlignment="1">
      <alignment horizontal="left" vertical="center" wrapText="1"/>
    </xf>
    <xf numFmtId="0" fontId="68" fillId="0" borderId="22" xfId="0" applyFont="1" applyBorder="1" applyAlignment="1">
      <alignment vertical="center" wrapText="1"/>
    </xf>
    <xf numFmtId="177" fontId="67" fillId="0" borderId="28" xfId="1" applyNumberFormat="1" applyFont="1" applyFill="1" applyBorder="1" applyAlignment="1">
      <alignment horizontal="right" vertical="center" shrinkToFit="1"/>
    </xf>
    <xf numFmtId="188" fontId="110" fillId="0" borderId="27" xfId="0" applyNumberFormat="1" applyFont="1" applyBorder="1" applyAlignment="1">
      <alignment horizontal="right" vertical="center" shrinkToFit="1"/>
    </xf>
    <xf numFmtId="38" fontId="68" fillId="0" borderId="27" xfId="1" applyFont="1" applyFill="1" applyBorder="1" applyAlignment="1">
      <alignment vertical="center" shrinkToFit="1"/>
    </xf>
    <xf numFmtId="38" fontId="68" fillId="0" borderId="28" xfId="1" applyFont="1" applyFill="1" applyBorder="1" applyAlignment="1">
      <alignment vertical="center" shrinkToFit="1"/>
    </xf>
    <xf numFmtId="176" fontId="78" fillId="0" borderId="27" xfId="1" applyNumberFormat="1" applyFont="1" applyFill="1" applyBorder="1" applyAlignment="1">
      <alignment horizontal="center" vertical="center" shrinkToFit="1"/>
    </xf>
    <xf numFmtId="38" fontId="68" fillId="0" borderId="27" xfId="1" applyFont="1" applyFill="1" applyBorder="1" applyAlignment="1">
      <alignment horizontal="center" vertical="center" shrinkToFit="1"/>
    </xf>
    <xf numFmtId="38" fontId="67" fillId="0" borderId="42" xfId="1" applyFont="1" applyFill="1" applyBorder="1" applyAlignment="1">
      <alignment horizontal="right" vertical="center" shrinkToFit="1"/>
    </xf>
    <xf numFmtId="38" fontId="67" fillId="0" borderId="36" xfId="1" applyFont="1" applyFill="1" applyBorder="1" applyAlignment="1">
      <alignment vertical="center" shrinkToFit="1"/>
    </xf>
    <xf numFmtId="38" fontId="68" fillId="0" borderId="26" xfId="1" applyFont="1" applyFill="1" applyBorder="1" applyAlignment="1">
      <alignment vertical="center" shrinkToFit="1"/>
    </xf>
    <xf numFmtId="38" fontId="68" fillId="0" borderId="23" xfId="1" applyFont="1" applyFill="1" applyBorder="1" applyAlignment="1">
      <alignment vertical="center" shrinkToFit="1"/>
    </xf>
    <xf numFmtId="177" fontId="68" fillId="0" borderId="26" xfId="1" applyNumberFormat="1" applyFont="1" applyFill="1" applyBorder="1" applyAlignment="1">
      <alignment vertical="center" shrinkToFit="1"/>
    </xf>
    <xf numFmtId="38" fontId="68" fillId="0" borderId="31" xfId="1" applyFont="1" applyFill="1" applyBorder="1" applyAlignment="1">
      <alignment vertical="center" shrinkToFit="1"/>
    </xf>
    <xf numFmtId="38" fontId="109" fillId="0" borderId="32" xfId="1" applyFont="1" applyFill="1" applyBorder="1" applyAlignment="1">
      <alignment vertical="center" shrinkToFit="1"/>
    </xf>
    <xf numFmtId="181" fontId="71" fillId="0" borderId="26" xfId="1" applyNumberFormat="1" applyFont="1" applyFill="1" applyBorder="1" applyAlignment="1">
      <alignment vertical="center" shrinkToFit="1"/>
    </xf>
    <xf numFmtId="0" fontId="82" fillId="0" borderId="0" xfId="0" applyFont="1" applyAlignment="1">
      <alignment horizontal="center" vertical="center"/>
    </xf>
    <xf numFmtId="38" fontId="80" fillId="0" borderId="23" xfId="0" applyNumberFormat="1" applyFont="1" applyBorder="1" applyAlignment="1">
      <alignment horizontal="left" vertical="center" wrapText="1"/>
    </xf>
    <xf numFmtId="49" fontId="81" fillId="0" borderId="23" xfId="0" applyNumberFormat="1" applyFont="1" applyBorder="1" applyAlignment="1">
      <alignment horizontal="center" vertical="center"/>
    </xf>
    <xf numFmtId="0" fontId="83" fillId="0" borderId="24" xfId="0" applyFont="1" applyBorder="1" applyAlignment="1">
      <alignment vertical="center" wrapText="1" shrinkToFit="1"/>
    </xf>
    <xf numFmtId="0" fontId="101" fillId="0" borderId="26" xfId="0" applyFont="1" applyBorder="1" applyAlignment="1">
      <alignment vertical="center" wrapText="1"/>
    </xf>
    <xf numFmtId="0" fontId="81" fillId="0" borderId="23" xfId="0" applyFont="1" applyBorder="1" applyAlignment="1">
      <alignment horizontal="center" vertical="center" shrinkToFit="1"/>
    </xf>
    <xf numFmtId="0" fontId="81" fillId="0" borderId="26" xfId="0" applyFont="1" applyBorder="1" applyAlignment="1">
      <alignment vertical="center" wrapText="1"/>
    </xf>
    <xf numFmtId="0" fontId="85" fillId="0" borderId="28" xfId="0" applyFont="1" applyBorder="1" applyAlignment="1">
      <alignment vertical="center" shrinkToFit="1"/>
    </xf>
    <xf numFmtId="49" fontId="85" fillId="0" borderId="33" xfId="0" applyNumberFormat="1" applyFont="1" applyBorder="1" applyAlignment="1">
      <alignment horizontal="left" vertical="center" shrinkToFit="1"/>
    </xf>
    <xf numFmtId="0" fontId="84" fillId="0" borderId="27" xfId="0" applyFont="1" applyBorder="1" applyAlignment="1">
      <alignment horizontal="center" vertical="center" shrinkToFit="1"/>
    </xf>
    <xf numFmtId="176" fontId="81" fillId="0" borderId="22" xfId="0" applyNumberFormat="1" applyFont="1" applyBorder="1" applyAlignment="1">
      <alignment horizontal="right" vertical="center" shrinkToFit="1"/>
    </xf>
    <xf numFmtId="176" fontId="81" fillId="0" borderId="26" xfId="0" applyNumberFormat="1" applyFont="1" applyBorder="1" applyAlignment="1">
      <alignment horizontal="left" vertical="center" shrinkToFit="1"/>
    </xf>
    <xf numFmtId="177" fontId="85" fillId="0" borderId="28" xfId="1" applyNumberFormat="1" applyFont="1" applyFill="1" applyBorder="1" applyAlignment="1">
      <alignment vertical="center" shrinkToFit="1"/>
    </xf>
    <xf numFmtId="38" fontId="86" fillId="0" borderId="29" xfId="1" applyFont="1" applyFill="1" applyBorder="1" applyAlignment="1">
      <alignment vertical="center" shrinkToFit="1"/>
    </xf>
    <xf numFmtId="38" fontId="86" fillId="0" borderId="26" xfId="1" applyFont="1" applyFill="1" applyBorder="1" applyAlignment="1">
      <alignment vertical="center" shrinkToFit="1"/>
    </xf>
    <xf numFmtId="38" fontId="81" fillId="0" borderId="27" xfId="1" applyFont="1" applyFill="1" applyBorder="1" applyAlignment="1">
      <alignment horizontal="right" vertical="center" shrinkToFit="1"/>
    </xf>
    <xf numFmtId="38" fontId="111" fillId="0" borderId="32" xfId="1" applyFont="1" applyBorder="1" applyAlignment="1">
      <alignment vertical="center" shrinkToFit="1"/>
    </xf>
    <xf numFmtId="0" fontId="81" fillId="0" borderId="23" xfId="0" applyFont="1" applyBorder="1" applyAlignment="1">
      <alignment vertical="center" wrapText="1"/>
    </xf>
    <xf numFmtId="0" fontId="88" fillId="0" borderId="0" xfId="0" applyFont="1">
      <alignment vertical="center"/>
    </xf>
    <xf numFmtId="0" fontId="88" fillId="0" borderId="0" xfId="0" applyFont="1" applyAlignment="1">
      <alignment horizontal="center" vertical="center"/>
    </xf>
    <xf numFmtId="0" fontId="82" fillId="0" borderId="0" xfId="0" applyFont="1">
      <alignment vertical="center"/>
    </xf>
    <xf numFmtId="38" fontId="5" fillId="0" borderId="42" xfId="1" applyFont="1" applyFill="1" applyBorder="1" applyAlignment="1">
      <alignment horizontal="right" vertical="center" shrinkToFit="1"/>
    </xf>
    <xf numFmtId="0" fontId="69" fillId="0" borderId="23" xfId="0" applyFont="1" applyBorder="1" applyAlignment="1">
      <alignment horizontal="left" vertical="center" wrapText="1"/>
    </xf>
    <xf numFmtId="38" fontId="69" fillId="0" borderId="23" xfId="1" applyFont="1" applyFill="1" applyBorder="1" applyAlignment="1">
      <alignment horizontal="left" vertical="center" wrapText="1"/>
    </xf>
    <xf numFmtId="38" fontId="10" fillId="10" borderId="55" xfId="0" applyNumberFormat="1" applyFont="1" applyFill="1" applyBorder="1" applyAlignment="1">
      <alignment vertical="center" wrapText="1"/>
    </xf>
    <xf numFmtId="38" fontId="8" fillId="0" borderId="34" xfId="0" applyNumberFormat="1" applyFont="1" applyBorder="1" applyAlignment="1">
      <alignment horizontal="left" vertical="center" wrapText="1"/>
    </xf>
    <xf numFmtId="38" fontId="5" fillId="0" borderId="85" xfId="1" applyFont="1" applyBorder="1" applyAlignment="1">
      <alignment vertical="center" shrinkToFit="1"/>
    </xf>
    <xf numFmtId="38" fontId="0" fillId="8" borderId="30" xfId="1" applyFont="1" applyFill="1" applyBorder="1" applyAlignment="1">
      <alignment vertical="center" shrinkToFit="1"/>
    </xf>
    <xf numFmtId="177" fontId="25" fillId="0" borderId="29" xfId="1" applyNumberFormat="1" applyFont="1" applyFill="1" applyBorder="1" applyAlignment="1">
      <alignment vertical="center" shrinkToFit="1"/>
    </xf>
    <xf numFmtId="38" fontId="67" fillId="0" borderId="142" xfId="1" applyFont="1" applyBorder="1" applyAlignment="1">
      <alignment vertical="center" shrinkToFit="1"/>
    </xf>
    <xf numFmtId="0" fontId="91" fillId="0" borderId="23" xfId="0" applyFont="1" applyBorder="1" applyAlignment="1">
      <alignment horizontal="center" vertical="center" shrinkToFit="1"/>
    </xf>
    <xf numFmtId="0" fontId="73" fillId="0" borderId="33" xfId="0" applyFont="1" applyBorder="1" applyAlignment="1">
      <alignment vertical="center" wrapText="1"/>
    </xf>
    <xf numFmtId="177" fontId="70" fillId="0" borderId="27" xfId="1" applyNumberFormat="1" applyFont="1" applyFill="1" applyBorder="1" applyAlignment="1">
      <alignment vertical="center" shrinkToFit="1"/>
    </xf>
    <xf numFmtId="177" fontId="70" fillId="0" borderId="28" xfId="1" applyNumberFormat="1" applyFont="1" applyFill="1" applyBorder="1" applyAlignment="1">
      <alignment vertical="center" shrinkToFit="1"/>
    </xf>
    <xf numFmtId="177" fontId="70" fillId="0" borderId="106" xfId="1" applyNumberFormat="1" applyFont="1" applyFill="1" applyBorder="1" applyAlignment="1">
      <alignment vertical="center" shrinkToFit="1"/>
    </xf>
    <xf numFmtId="177" fontId="70" fillId="0" borderId="58" xfId="1" applyNumberFormat="1" applyFont="1" applyFill="1" applyBorder="1" applyAlignment="1">
      <alignment vertical="center" shrinkToFit="1"/>
    </xf>
    <xf numFmtId="176" fontId="26" fillId="0" borderId="71" xfId="1" applyNumberFormat="1" applyFont="1" applyBorder="1" applyAlignment="1">
      <alignment horizontal="center" vertical="center" shrinkToFit="1"/>
    </xf>
    <xf numFmtId="0" fontId="62" fillId="0" borderId="23" xfId="0" applyFont="1" applyBorder="1" applyAlignment="1">
      <alignment horizontal="center" vertical="center" shrinkToFit="1"/>
    </xf>
    <xf numFmtId="176" fontId="70" fillId="0" borderId="26" xfId="0" applyNumberFormat="1" applyFont="1" applyBorder="1" applyAlignment="1">
      <alignment horizontal="left" vertical="center" shrinkToFit="1"/>
    </xf>
    <xf numFmtId="38" fontId="70" fillId="0" borderId="27" xfId="1" applyFont="1" applyFill="1" applyBorder="1" applyAlignment="1">
      <alignment horizontal="right" vertical="center" shrinkToFit="1"/>
    </xf>
    <xf numFmtId="177" fontId="7" fillId="0" borderId="8" xfId="1" applyNumberFormat="1" applyFont="1" applyFill="1" applyBorder="1" applyAlignment="1">
      <alignment vertical="center" shrinkToFit="1"/>
    </xf>
    <xf numFmtId="0" fontId="68" fillId="11" borderId="26" xfId="0" applyFont="1" applyFill="1" applyBorder="1" applyAlignment="1">
      <alignment vertical="center" wrapText="1"/>
    </xf>
    <xf numFmtId="179" fontId="68" fillId="0" borderId="22" xfId="0" applyNumberFormat="1" applyFont="1" applyBorder="1" applyAlignment="1">
      <alignment horizontal="right" vertical="center" shrinkToFit="1"/>
    </xf>
    <xf numFmtId="179" fontId="68" fillId="0" borderId="26" xfId="0" applyNumberFormat="1" applyFont="1" applyBorder="1" applyAlignment="1">
      <alignment horizontal="left" vertical="center" shrinkToFit="1"/>
    </xf>
    <xf numFmtId="38" fontId="25" fillId="0" borderId="29" xfId="1" applyFont="1" applyFill="1" applyBorder="1">
      <alignment vertical="center"/>
    </xf>
    <xf numFmtId="0" fontId="25" fillId="0" borderId="29" xfId="0" applyFont="1" applyBorder="1">
      <alignment vertical="center"/>
    </xf>
    <xf numFmtId="0" fontId="8" fillId="12" borderId="23" xfId="0" applyFont="1" applyFill="1" applyBorder="1" applyAlignment="1">
      <alignment horizontal="left" vertical="center" wrapText="1"/>
    </xf>
    <xf numFmtId="49" fontId="5" fillId="12" borderId="23" xfId="0" applyNumberFormat="1" applyFont="1" applyFill="1" applyBorder="1" applyAlignment="1">
      <alignment horizontal="center" vertical="center"/>
    </xf>
    <xf numFmtId="0" fontId="11" fillId="12" borderId="24" xfId="0" applyFont="1" applyFill="1" applyBorder="1" applyAlignment="1">
      <alignment vertical="center" wrapText="1" shrinkToFit="1"/>
    </xf>
    <xf numFmtId="0" fontId="18" fillId="12" borderId="26" xfId="0" applyFont="1" applyFill="1" applyBorder="1" applyAlignment="1">
      <alignment vertical="center" wrapText="1"/>
    </xf>
    <xf numFmtId="0" fontId="5" fillId="12" borderId="23" xfId="0" applyFont="1" applyFill="1" applyBorder="1" applyAlignment="1">
      <alignment horizontal="center" vertical="center" shrinkToFit="1"/>
    </xf>
    <xf numFmtId="0" fontId="5" fillId="12" borderId="26" xfId="0" applyFont="1" applyFill="1" applyBorder="1" applyAlignment="1">
      <alignment vertical="center" wrapText="1"/>
    </xf>
    <xf numFmtId="0" fontId="9" fillId="12" borderId="28" xfId="0" applyFont="1" applyFill="1" applyBorder="1" applyAlignment="1">
      <alignment vertical="center" shrinkToFit="1"/>
    </xf>
    <xf numFmtId="49" fontId="9" fillId="12" borderId="33" xfId="0" applyNumberFormat="1" applyFont="1" applyFill="1" applyBorder="1" applyAlignment="1">
      <alignment horizontal="left" vertical="center" shrinkToFit="1"/>
    </xf>
    <xf numFmtId="0" fontId="40" fillId="12" borderId="27" xfId="0" applyFont="1" applyFill="1" applyBorder="1" applyAlignment="1">
      <alignment horizontal="center" vertical="center" shrinkToFit="1"/>
    </xf>
    <xf numFmtId="176" fontId="5" fillId="12" borderId="22" xfId="0" applyNumberFormat="1" applyFont="1" applyFill="1" applyBorder="1" applyAlignment="1">
      <alignment horizontal="right" vertical="center" shrinkToFit="1"/>
    </xf>
    <xf numFmtId="0" fontId="62" fillId="12" borderId="26" xfId="0" applyFont="1" applyFill="1" applyBorder="1" applyAlignment="1">
      <alignment horizontal="center" vertical="center" shrinkToFit="1"/>
    </xf>
    <xf numFmtId="176" fontId="5" fillId="12" borderId="26" xfId="0" applyNumberFormat="1" applyFont="1" applyFill="1" applyBorder="1" applyAlignment="1">
      <alignment horizontal="left" vertical="center" shrinkToFit="1"/>
    </xf>
    <xf numFmtId="177" fontId="0" fillId="12" borderId="28" xfId="1" applyNumberFormat="1" applyFont="1" applyFill="1" applyBorder="1" applyAlignment="1">
      <alignment horizontal="right" vertical="center" shrinkToFit="1"/>
    </xf>
    <xf numFmtId="188" fontId="106" fillId="12" borderId="27" xfId="0" applyNumberFormat="1" applyFont="1" applyFill="1" applyBorder="1" applyAlignment="1">
      <alignment horizontal="right" vertical="center" shrinkToFit="1"/>
    </xf>
    <xf numFmtId="177" fontId="9" fillId="12" borderId="28" xfId="1" applyNumberFormat="1" applyFont="1" applyFill="1" applyBorder="1" applyAlignment="1">
      <alignment vertical="center" shrinkToFit="1"/>
    </xf>
    <xf numFmtId="38" fontId="25" fillId="12" borderId="29" xfId="1" applyFont="1" applyFill="1" applyBorder="1" applyAlignment="1">
      <alignment vertical="center" shrinkToFit="1"/>
    </xf>
    <xf numFmtId="177" fontId="66" fillId="12" borderId="28" xfId="1" applyNumberFormat="1" applyFont="1" applyFill="1" applyBorder="1" applyAlignment="1">
      <alignment vertical="center" shrinkToFit="1"/>
    </xf>
    <xf numFmtId="177" fontId="7" fillId="12" borderId="28" xfId="1" applyNumberFormat="1" applyFont="1" applyFill="1" applyBorder="1" applyAlignment="1">
      <alignment vertical="center" shrinkToFit="1"/>
    </xf>
    <xf numFmtId="38" fontId="5" fillId="12" borderId="27" xfId="1" applyFont="1" applyFill="1" applyBorder="1" applyAlignment="1">
      <alignment vertical="center" shrinkToFit="1"/>
    </xf>
    <xf numFmtId="38" fontId="5" fillId="12" borderId="28" xfId="1" applyFont="1" applyFill="1" applyBorder="1" applyAlignment="1">
      <alignment vertical="center" shrinkToFit="1"/>
    </xf>
    <xf numFmtId="176" fontId="26" fillId="12" borderId="27" xfId="1" applyNumberFormat="1" applyFont="1" applyFill="1" applyBorder="1" applyAlignment="1">
      <alignment horizontal="center" vertical="center" shrinkToFit="1"/>
    </xf>
    <xf numFmtId="38" fontId="5" fillId="12" borderId="27" xfId="1" applyFont="1" applyFill="1" applyBorder="1" applyAlignment="1">
      <alignment horizontal="center" vertical="center" shrinkToFit="1"/>
    </xf>
    <xf numFmtId="38" fontId="0" fillId="12" borderId="42" xfId="1" applyFont="1" applyFill="1" applyBorder="1" applyAlignment="1">
      <alignment horizontal="right" vertical="center" shrinkToFit="1"/>
    </xf>
    <xf numFmtId="38" fontId="2" fillId="12" borderId="30" xfId="1" applyFill="1" applyBorder="1" applyAlignment="1">
      <alignment vertical="center" shrinkToFit="1"/>
    </xf>
    <xf numFmtId="38" fontId="0" fillId="12" borderId="36" xfId="1" applyFont="1" applyFill="1" applyBorder="1" applyAlignment="1">
      <alignment vertical="center" shrinkToFit="1"/>
    </xf>
    <xf numFmtId="38" fontId="5" fillId="12" borderId="27" xfId="1" applyFont="1" applyFill="1" applyBorder="1" applyAlignment="1">
      <alignment horizontal="right" vertical="center" shrinkToFit="1"/>
    </xf>
    <xf numFmtId="38" fontId="5" fillId="12" borderId="26" xfId="1" applyFont="1" applyFill="1" applyBorder="1" applyAlignment="1">
      <alignment vertical="center" shrinkToFit="1"/>
    </xf>
    <xf numFmtId="38" fontId="5" fillId="12" borderId="23" xfId="1" applyFont="1" applyFill="1" applyBorder="1" applyAlignment="1">
      <alignment vertical="center" shrinkToFit="1"/>
    </xf>
    <xf numFmtId="177" fontId="5" fillId="12" borderId="26" xfId="1" applyNumberFormat="1" applyFont="1" applyFill="1" applyBorder="1" applyAlignment="1">
      <alignment vertical="center" shrinkToFit="1"/>
    </xf>
    <xf numFmtId="38" fontId="5" fillId="12" borderId="31" xfId="1" applyFont="1" applyFill="1" applyBorder="1" applyAlignment="1">
      <alignment vertical="center" shrinkToFit="1"/>
    </xf>
    <xf numFmtId="38" fontId="29" fillId="12" borderId="32" xfId="1" applyFont="1" applyFill="1" applyBorder="1" applyAlignment="1">
      <alignment vertical="center" shrinkToFit="1"/>
    </xf>
    <xf numFmtId="0" fontId="5" fillId="12" borderId="23" xfId="0" applyFont="1" applyFill="1" applyBorder="1" applyAlignment="1">
      <alignment vertical="center" wrapText="1"/>
    </xf>
    <xf numFmtId="177" fontId="10" fillId="0" borderId="55" xfId="0" applyNumberFormat="1" applyFont="1" applyBorder="1" applyAlignment="1">
      <alignment vertical="center" wrapText="1"/>
    </xf>
    <xf numFmtId="0" fontId="5" fillId="0" borderId="34" xfId="0" applyFont="1" applyBorder="1" applyAlignment="1">
      <alignment horizontal="center" vertical="center"/>
    </xf>
    <xf numFmtId="176" fontId="5" fillId="11" borderId="39" xfId="0" applyNumberFormat="1" applyFont="1" applyFill="1" applyBorder="1" applyAlignment="1">
      <alignment vertical="center" wrapText="1"/>
    </xf>
    <xf numFmtId="38" fontId="43" fillId="0" borderId="39" xfId="1" applyFont="1" applyBorder="1" applyAlignment="1">
      <alignment vertical="center" shrinkToFit="1"/>
    </xf>
    <xf numFmtId="0" fontId="5" fillId="0" borderId="23" xfId="0" applyFont="1" applyBorder="1" applyAlignment="1">
      <alignment horizontal="center" vertical="center"/>
    </xf>
    <xf numFmtId="176" fontId="5" fillId="11" borderId="26" xfId="0" applyNumberFormat="1" applyFont="1" applyFill="1" applyBorder="1" applyAlignment="1">
      <alignment vertical="center" wrapText="1"/>
    </xf>
    <xf numFmtId="0" fontId="68" fillId="0" borderId="23" xfId="0" applyFont="1" applyBorder="1" applyAlignment="1">
      <alignment horizontal="center" vertical="center"/>
    </xf>
    <xf numFmtId="176" fontId="68" fillId="0" borderId="26" xfId="0" applyNumberFormat="1" applyFont="1" applyBorder="1" applyAlignment="1">
      <alignment vertical="center" wrapText="1"/>
    </xf>
    <xf numFmtId="49" fontId="75" fillId="0" borderId="41" xfId="0" applyNumberFormat="1" applyFont="1" applyBorder="1" applyAlignment="1">
      <alignment horizontal="left" vertical="center" shrinkToFit="1"/>
    </xf>
    <xf numFmtId="177" fontId="7" fillId="0" borderId="73" xfId="1" applyNumberFormat="1" applyFont="1" applyFill="1" applyBorder="1" applyAlignment="1">
      <alignment vertical="center" shrinkToFit="1"/>
    </xf>
    <xf numFmtId="176" fontId="5" fillId="0" borderId="22" xfId="0" applyNumberFormat="1" applyFont="1" applyBorder="1" applyAlignment="1">
      <alignment vertical="center" shrinkToFit="1"/>
    </xf>
    <xf numFmtId="176" fontId="5" fillId="0" borderId="26" xfId="0" applyNumberFormat="1" applyFont="1" applyBorder="1" applyAlignment="1">
      <alignment horizontal="center" vertical="center" shrinkToFit="1"/>
    </xf>
    <xf numFmtId="176" fontId="100" fillId="0" borderId="22" xfId="0" applyNumberFormat="1" applyFont="1" applyBorder="1" applyAlignment="1">
      <alignment horizontal="right" vertical="center" shrinkToFit="1"/>
    </xf>
    <xf numFmtId="176" fontId="100" fillId="0" borderId="26" xfId="0" applyNumberFormat="1" applyFont="1" applyBorder="1" applyAlignment="1">
      <alignment horizontal="left" vertical="center" shrinkToFit="1"/>
    </xf>
    <xf numFmtId="0" fontId="70" fillId="0" borderId="28" xfId="0" applyFont="1" applyBorder="1" applyAlignment="1">
      <alignment vertical="center" shrinkToFit="1"/>
    </xf>
    <xf numFmtId="49" fontId="70" fillId="0" borderId="33" xfId="0" applyNumberFormat="1" applyFont="1" applyBorder="1" applyAlignment="1">
      <alignment horizontal="left" vertical="center" shrinkToFit="1"/>
    </xf>
    <xf numFmtId="38" fontId="8" fillId="12" borderId="23" xfId="0" applyNumberFormat="1" applyFont="1" applyFill="1" applyBorder="1" applyAlignment="1">
      <alignment horizontal="left" vertical="center" wrapText="1"/>
    </xf>
    <xf numFmtId="0" fontId="5" fillId="12" borderId="23" xfId="0" applyFont="1" applyFill="1" applyBorder="1" applyAlignment="1">
      <alignment horizontal="center" vertical="center"/>
    </xf>
    <xf numFmtId="177" fontId="7" fillId="12" borderId="27" xfId="1" applyNumberFormat="1" applyFont="1" applyFill="1" applyBorder="1" applyAlignment="1">
      <alignment vertical="center" shrinkToFit="1"/>
    </xf>
    <xf numFmtId="38" fontId="0" fillId="12" borderId="27" xfId="1" applyFont="1" applyFill="1" applyBorder="1" applyAlignment="1">
      <alignment horizontal="right" vertical="center" shrinkToFit="1"/>
    </xf>
    <xf numFmtId="38" fontId="0" fillId="12" borderId="30" xfId="1" applyFont="1" applyFill="1" applyBorder="1" applyAlignment="1">
      <alignment vertical="center" shrinkToFit="1"/>
    </xf>
    <xf numFmtId="38" fontId="67" fillId="12" borderId="30" xfId="1" applyFont="1" applyFill="1" applyBorder="1" applyAlignment="1">
      <alignment vertical="center" shrinkToFit="1"/>
    </xf>
    <xf numFmtId="176" fontId="65" fillId="0" borderId="27" xfId="0" applyNumberFormat="1" applyFont="1" applyBorder="1" applyAlignment="1">
      <alignment horizontal="center" vertical="center" shrinkToFit="1"/>
    </xf>
    <xf numFmtId="38" fontId="69" fillId="0" borderId="68" xfId="0" applyNumberFormat="1" applyFont="1" applyBorder="1" applyAlignment="1">
      <alignment horizontal="left" vertical="center" wrapText="1"/>
    </xf>
    <xf numFmtId="49" fontId="68" fillId="0" borderId="68" xfId="0" applyNumberFormat="1" applyFont="1" applyBorder="1" applyAlignment="1">
      <alignment horizontal="center" vertical="center"/>
    </xf>
    <xf numFmtId="0" fontId="72" fillId="0" borderId="69" xfId="0" applyFont="1" applyBorder="1" applyAlignment="1">
      <alignment vertical="center" wrapText="1" shrinkToFit="1"/>
    </xf>
    <xf numFmtId="0" fontId="68" fillId="0" borderId="68" xfId="0" applyFont="1" applyBorder="1" applyAlignment="1">
      <alignment horizontal="center" vertical="center" shrinkToFit="1"/>
    </xf>
    <xf numFmtId="0" fontId="68" fillId="0" borderId="70" xfId="0" applyFont="1" applyBorder="1" applyAlignment="1">
      <alignment vertical="center" wrapText="1"/>
    </xf>
    <xf numFmtId="0" fontId="75" fillId="0" borderId="74" xfId="0" applyFont="1" applyBorder="1" applyAlignment="1">
      <alignment vertical="center" shrinkToFit="1"/>
    </xf>
    <xf numFmtId="49" fontId="75" fillId="0" borderId="77" xfId="0" applyNumberFormat="1" applyFont="1" applyBorder="1" applyAlignment="1">
      <alignment horizontal="left" vertical="center" shrinkToFit="1"/>
    </xf>
    <xf numFmtId="0" fontId="65" fillId="0" borderId="73" xfId="0" applyFont="1" applyBorder="1" applyAlignment="1">
      <alignment horizontal="center" vertical="center" shrinkToFit="1"/>
    </xf>
    <xf numFmtId="176" fontId="68" fillId="0" borderId="67" xfId="0" applyNumberFormat="1" applyFont="1" applyBorder="1" applyAlignment="1">
      <alignment horizontal="right" vertical="center" shrinkToFit="1"/>
    </xf>
    <xf numFmtId="0" fontId="62" fillId="0" borderId="70" xfId="0" applyFont="1" applyBorder="1" applyAlignment="1">
      <alignment horizontal="center" vertical="center" shrinkToFit="1"/>
    </xf>
    <xf numFmtId="176" fontId="68" fillId="0" borderId="70" xfId="0" applyNumberFormat="1" applyFont="1" applyBorder="1" applyAlignment="1">
      <alignment horizontal="left" vertical="center" shrinkToFit="1"/>
    </xf>
    <xf numFmtId="177" fontId="2" fillId="0" borderId="74" xfId="1" applyNumberFormat="1" applyFont="1" applyFill="1" applyBorder="1" applyAlignment="1">
      <alignment horizontal="right" vertical="center" shrinkToFit="1"/>
    </xf>
    <xf numFmtId="188" fontId="105" fillId="0" borderId="73" xfId="0" applyNumberFormat="1" applyFont="1" applyBorder="1" applyAlignment="1">
      <alignment horizontal="right" vertical="center" shrinkToFit="1"/>
    </xf>
    <xf numFmtId="177" fontId="9" fillId="0" borderId="74" xfId="1" applyNumberFormat="1" applyFont="1" applyFill="1" applyBorder="1" applyAlignment="1">
      <alignment vertical="center" shrinkToFit="1"/>
    </xf>
    <xf numFmtId="38" fontId="71" fillId="0" borderId="72" xfId="1" applyFont="1" applyFill="1" applyBorder="1" applyAlignment="1">
      <alignment vertical="center" shrinkToFit="1"/>
    </xf>
    <xf numFmtId="38" fontId="71" fillId="0" borderId="70" xfId="1" applyFont="1" applyFill="1" applyBorder="1" applyAlignment="1">
      <alignment vertical="center" shrinkToFit="1"/>
    </xf>
    <xf numFmtId="177" fontId="66" fillId="13" borderId="74" xfId="1" applyNumberFormat="1" applyFont="1" applyFill="1" applyBorder="1" applyAlignment="1">
      <alignment vertical="center" shrinkToFit="1"/>
    </xf>
    <xf numFmtId="38" fontId="68" fillId="0" borderId="73" xfId="1" applyFont="1" applyBorder="1" applyAlignment="1">
      <alignment vertical="center" shrinkToFit="1"/>
    </xf>
    <xf numFmtId="38" fontId="68" fillId="0" borderId="74" xfId="1" applyFont="1" applyBorder="1" applyAlignment="1">
      <alignment vertical="center" shrinkToFit="1"/>
    </xf>
    <xf numFmtId="176" fontId="78" fillId="0" borderId="73" xfId="1" applyNumberFormat="1" applyFont="1" applyBorder="1" applyAlignment="1">
      <alignment horizontal="center" vertical="center" shrinkToFit="1"/>
    </xf>
    <xf numFmtId="38" fontId="68" fillId="0" borderId="73" xfId="1" applyFont="1" applyBorder="1" applyAlignment="1">
      <alignment horizontal="center" vertical="center" shrinkToFit="1"/>
    </xf>
    <xf numFmtId="38" fontId="67" fillId="0" borderId="73" xfId="1" applyFont="1" applyBorder="1" applyAlignment="1">
      <alignment horizontal="right" vertical="center" shrinkToFit="1"/>
    </xf>
    <xf numFmtId="38" fontId="67" fillId="0" borderId="75" xfId="1" applyFont="1" applyBorder="1" applyAlignment="1">
      <alignment vertical="center" shrinkToFit="1"/>
    </xf>
    <xf numFmtId="38" fontId="67" fillId="8" borderId="75" xfId="1" applyFont="1" applyFill="1" applyBorder="1" applyAlignment="1">
      <alignment vertical="center" shrinkToFit="1"/>
    </xf>
    <xf numFmtId="38" fontId="68" fillId="0" borderId="73" xfId="1" applyFont="1" applyFill="1" applyBorder="1" applyAlignment="1">
      <alignment horizontal="right" vertical="center" shrinkToFit="1"/>
    </xf>
    <xf numFmtId="38" fontId="68" fillId="0" borderId="70" xfId="1" applyFont="1" applyBorder="1" applyAlignment="1">
      <alignment vertical="center" shrinkToFit="1"/>
    </xf>
    <xf numFmtId="38" fontId="68" fillId="0" borderId="68" xfId="1" applyFont="1" applyBorder="1" applyAlignment="1">
      <alignment vertical="center" shrinkToFit="1"/>
    </xf>
    <xf numFmtId="177" fontId="68" fillId="0" borderId="70" xfId="1" applyNumberFormat="1" applyFont="1" applyBorder="1" applyAlignment="1">
      <alignment vertical="center" shrinkToFit="1"/>
    </xf>
    <xf numFmtId="38" fontId="68" fillId="0" borderId="80" xfId="1" applyFont="1" applyBorder="1" applyAlignment="1">
      <alignment vertical="center" shrinkToFit="1"/>
    </xf>
    <xf numFmtId="38" fontId="109" fillId="0" borderId="76" xfId="1" applyFont="1" applyBorder="1" applyAlignment="1">
      <alignment vertical="center" shrinkToFit="1"/>
    </xf>
    <xf numFmtId="0" fontId="68" fillId="0" borderId="68" xfId="0" applyFont="1" applyBorder="1" applyAlignment="1">
      <alignment vertical="center" wrapText="1"/>
    </xf>
    <xf numFmtId="0" fontId="5" fillId="0" borderId="70" xfId="0" applyFont="1" applyBorder="1" applyAlignment="1">
      <alignment horizontal="center" vertical="center" shrinkToFit="1"/>
    </xf>
    <xf numFmtId="38" fontId="39" fillId="0" borderId="73" xfId="1" applyFont="1" applyBorder="1" applyAlignment="1">
      <alignment horizontal="center" vertical="center" shrinkToFit="1"/>
    </xf>
    <xf numFmtId="38" fontId="5" fillId="0" borderId="73" xfId="1" applyFont="1" applyFill="1" applyBorder="1" applyAlignment="1">
      <alignment horizontal="right" vertical="center" shrinkToFit="1"/>
    </xf>
    <xf numFmtId="0" fontId="10" fillId="0" borderId="68" xfId="0" applyFont="1" applyBorder="1" applyAlignment="1">
      <alignment vertical="center" wrapText="1"/>
    </xf>
    <xf numFmtId="38" fontId="69" fillId="0" borderId="34" xfId="0" applyNumberFormat="1" applyFont="1" applyBorder="1" applyAlignment="1">
      <alignment horizontal="left" vertical="center" wrapText="1"/>
    </xf>
    <xf numFmtId="49" fontId="68" fillId="0" borderId="34" xfId="0" applyNumberFormat="1" applyFont="1" applyBorder="1" applyAlignment="1">
      <alignment horizontal="center" vertical="center"/>
    </xf>
    <xf numFmtId="0" fontId="72" fillId="0" borderId="87" xfId="0" applyFont="1" applyBorder="1" applyAlignment="1">
      <alignment vertical="center" wrapText="1" shrinkToFit="1"/>
    </xf>
    <xf numFmtId="0" fontId="73" fillId="0" borderId="39" xfId="0" applyFont="1" applyBorder="1" applyAlignment="1">
      <alignment vertical="center" wrapText="1"/>
    </xf>
    <xf numFmtId="0" fontId="68" fillId="0" borderId="34" xfId="0" applyFont="1" applyBorder="1" applyAlignment="1">
      <alignment horizontal="center" vertical="center" shrinkToFit="1"/>
    </xf>
    <xf numFmtId="0" fontId="68" fillId="0" borderId="39" xfId="0" applyFont="1" applyBorder="1" applyAlignment="1">
      <alignment vertical="center" wrapText="1"/>
    </xf>
    <xf numFmtId="0" fontId="75" fillId="0" borderId="85" xfId="0" applyFont="1" applyBorder="1" applyAlignment="1">
      <alignment vertical="center" shrinkToFit="1"/>
    </xf>
    <xf numFmtId="176" fontId="68" fillId="0" borderId="102" xfId="0" applyNumberFormat="1" applyFont="1" applyBorder="1" applyAlignment="1">
      <alignment horizontal="right" vertical="center" shrinkToFit="1"/>
    </xf>
    <xf numFmtId="176" fontId="68" fillId="0" borderId="39" xfId="0" applyNumberFormat="1" applyFont="1" applyBorder="1" applyAlignment="1">
      <alignment horizontal="left" vertical="center" shrinkToFit="1"/>
    </xf>
    <xf numFmtId="38" fontId="71" fillId="0" borderId="40" xfId="1" applyFont="1" applyFill="1" applyBorder="1" applyAlignment="1">
      <alignment vertical="center" shrinkToFit="1"/>
    </xf>
    <xf numFmtId="38" fontId="71" fillId="0" borderId="39" xfId="1" applyFont="1" applyFill="1" applyBorder="1" applyAlignment="1">
      <alignment vertical="center" shrinkToFit="1"/>
    </xf>
    <xf numFmtId="177" fontId="7" fillId="0" borderId="71" xfId="1" applyNumberFormat="1" applyFont="1" applyFill="1" applyBorder="1" applyAlignment="1">
      <alignment vertical="center" shrinkToFit="1"/>
    </xf>
    <xf numFmtId="38" fontId="68" fillId="0" borderId="71" xfId="1" applyFont="1" applyBorder="1" applyAlignment="1">
      <alignment vertical="center" shrinkToFit="1"/>
    </xf>
    <xf numFmtId="38" fontId="68" fillId="0" borderId="85" xfId="1" applyFont="1" applyBorder="1" applyAlignment="1">
      <alignment vertical="center" shrinkToFit="1"/>
    </xf>
    <xf numFmtId="176" fontId="78" fillId="0" borderId="71" xfId="1" applyNumberFormat="1" applyFont="1" applyBorder="1" applyAlignment="1">
      <alignment horizontal="center" vertical="center" shrinkToFit="1"/>
    </xf>
    <xf numFmtId="38" fontId="79" fillId="0" borderId="71" xfId="1" applyFont="1" applyBorder="1" applyAlignment="1">
      <alignment horizontal="center" vertical="center" shrinkToFit="1"/>
    </xf>
    <xf numFmtId="38" fontId="68" fillId="0" borderId="71" xfId="1" applyFont="1" applyBorder="1" applyAlignment="1">
      <alignment horizontal="center" vertical="center" shrinkToFit="1"/>
    </xf>
    <xf numFmtId="38" fontId="67" fillId="0" borderId="71" xfId="1" applyFont="1" applyBorder="1" applyAlignment="1">
      <alignment horizontal="right" vertical="center" shrinkToFit="1"/>
    </xf>
    <xf numFmtId="38" fontId="68" fillId="0" borderId="71" xfId="1" applyFont="1" applyFill="1" applyBorder="1" applyAlignment="1">
      <alignment horizontal="right" vertical="center" shrinkToFit="1"/>
    </xf>
    <xf numFmtId="38" fontId="68" fillId="0" borderId="39" xfId="1" applyFont="1" applyBorder="1" applyAlignment="1">
      <alignment vertical="center" shrinkToFit="1"/>
    </xf>
    <xf numFmtId="38" fontId="68" fillId="0" borderId="34" xfId="1" applyFont="1" applyBorder="1" applyAlignment="1">
      <alignment vertical="center" shrinkToFit="1"/>
    </xf>
    <xf numFmtId="177" fontId="68" fillId="0" borderId="39" xfId="1" applyNumberFormat="1" applyFont="1" applyBorder="1" applyAlignment="1">
      <alignment vertical="center" shrinkToFit="1"/>
    </xf>
    <xf numFmtId="38" fontId="68" fillId="0" borderId="81" xfId="1" applyFont="1" applyBorder="1" applyAlignment="1">
      <alignment vertical="center" shrinkToFit="1"/>
    </xf>
    <xf numFmtId="38" fontId="109" fillId="0" borderId="103" xfId="1" applyFont="1" applyBorder="1" applyAlignment="1">
      <alignment vertical="center" shrinkToFit="1"/>
    </xf>
    <xf numFmtId="38" fontId="68" fillId="0" borderId="34" xfId="1" applyFont="1" applyBorder="1" applyAlignment="1">
      <alignment vertical="center" wrapText="1"/>
    </xf>
    <xf numFmtId="38" fontId="44" fillId="12" borderId="27" xfId="1" applyFont="1" applyFill="1" applyBorder="1" applyAlignment="1">
      <alignment horizontal="center" vertical="center" shrinkToFit="1"/>
    </xf>
    <xf numFmtId="38" fontId="67" fillId="12" borderId="36" xfId="1" applyFont="1" applyFill="1" applyBorder="1" applyAlignment="1">
      <alignment vertical="center" shrinkToFit="1"/>
    </xf>
    <xf numFmtId="0" fontId="68" fillId="0" borderId="23" xfId="0" applyFont="1" applyBorder="1" applyAlignment="1">
      <alignment horizontal="left" vertical="center" wrapText="1"/>
    </xf>
    <xf numFmtId="38" fontId="26" fillId="0" borderId="73" xfId="1" applyFont="1" applyBorder="1" applyAlignment="1">
      <alignment horizontal="center" vertical="center" shrinkToFit="1"/>
    </xf>
    <xf numFmtId="38" fontId="5" fillId="0" borderId="41" xfId="1" applyFont="1" applyBorder="1" applyAlignment="1">
      <alignment horizontal="center" vertical="center" shrinkToFit="1"/>
    </xf>
    <xf numFmtId="0" fontId="5" fillId="0" borderId="47" xfId="0" applyFont="1" applyBorder="1" applyAlignment="1">
      <alignment horizontal="center" vertical="center" shrinkToFit="1"/>
    </xf>
    <xf numFmtId="179" fontId="5" fillId="12" borderId="22" xfId="0" applyNumberFormat="1" applyFont="1" applyFill="1" applyBorder="1" applyAlignment="1">
      <alignment horizontal="right" vertical="center" shrinkToFit="1"/>
    </xf>
    <xf numFmtId="179" fontId="5" fillId="12" borderId="26" xfId="0" applyNumberFormat="1" applyFont="1" applyFill="1" applyBorder="1" applyAlignment="1">
      <alignment horizontal="left" vertical="center" shrinkToFit="1"/>
    </xf>
    <xf numFmtId="38" fontId="26" fillId="12" borderId="27" xfId="1" applyFont="1" applyFill="1" applyBorder="1" applyAlignment="1">
      <alignment horizontal="center" vertical="center" shrinkToFit="1"/>
    </xf>
    <xf numFmtId="38" fontId="2" fillId="12" borderId="36" xfId="1" applyFill="1" applyBorder="1" applyAlignment="1">
      <alignment vertical="center" shrinkToFit="1"/>
    </xf>
    <xf numFmtId="49" fontId="68" fillId="0" borderId="23" xfId="0" applyNumberFormat="1" applyFont="1" applyBorder="1" applyAlignment="1">
      <alignment horizontal="center" vertical="center" shrinkToFit="1"/>
    </xf>
    <xf numFmtId="38" fontId="8" fillId="9" borderId="23" xfId="0" applyNumberFormat="1" applyFont="1" applyFill="1" applyBorder="1" applyAlignment="1">
      <alignment horizontal="left" vertical="center" wrapText="1"/>
    </xf>
    <xf numFmtId="49" fontId="5" fillId="9" borderId="23" xfId="0" applyNumberFormat="1" applyFont="1" applyFill="1" applyBorder="1" applyAlignment="1">
      <alignment horizontal="center" vertical="center"/>
    </xf>
    <xf numFmtId="0" fontId="11" fillId="9" borderId="24" xfId="0" applyFont="1" applyFill="1" applyBorder="1" applyAlignment="1">
      <alignment vertical="center" wrapText="1" shrinkToFit="1"/>
    </xf>
    <xf numFmtId="0" fontId="18" fillId="9" borderId="26" xfId="0" applyFont="1" applyFill="1" applyBorder="1" applyAlignment="1">
      <alignment vertical="center" wrapText="1"/>
    </xf>
    <xf numFmtId="0" fontId="5" fillId="9" borderId="23" xfId="0" applyFont="1" applyFill="1" applyBorder="1" applyAlignment="1">
      <alignment horizontal="center" vertical="center" shrinkToFit="1"/>
    </xf>
    <xf numFmtId="0" fontId="5" fillId="9" borderId="26" xfId="0" applyFont="1" applyFill="1" applyBorder="1" applyAlignment="1">
      <alignment vertical="center" wrapText="1"/>
    </xf>
    <xf numFmtId="0" fontId="9" fillId="9" borderId="28" xfId="0" applyFont="1" applyFill="1" applyBorder="1" applyAlignment="1">
      <alignment vertical="center" shrinkToFit="1"/>
    </xf>
    <xf numFmtId="49" fontId="9" fillId="9" borderId="33" xfId="0" applyNumberFormat="1" applyFont="1" applyFill="1" applyBorder="1" applyAlignment="1">
      <alignment horizontal="left" vertical="center" shrinkToFit="1"/>
    </xf>
    <xf numFmtId="0" fontId="40" fillId="9" borderId="27" xfId="0" applyFont="1" applyFill="1" applyBorder="1" applyAlignment="1">
      <alignment horizontal="center" vertical="center" shrinkToFit="1"/>
    </xf>
    <xf numFmtId="179" fontId="5" fillId="9" borderId="22" xfId="0" applyNumberFormat="1" applyFont="1" applyFill="1" applyBorder="1" applyAlignment="1">
      <alignment horizontal="right" vertical="center" shrinkToFit="1"/>
    </xf>
    <xf numFmtId="0" fontId="62" fillId="9" borderId="26" xfId="0" applyFont="1" applyFill="1" applyBorder="1" applyAlignment="1">
      <alignment horizontal="center" vertical="center" shrinkToFit="1"/>
    </xf>
    <xf numFmtId="179" fontId="5" fillId="9" borderId="26" xfId="0" applyNumberFormat="1" applyFont="1" applyFill="1" applyBorder="1" applyAlignment="1">
      <alignment horizontal="left" vertical="center" shrinkToFit="1"/>
    </xf>
    <xf numFmtId="177" fontId="0" fillId="9" borderId="28" xfId="1" applyNumberFormat="1" applyFont="1" applyFill="1" applyBorder="1" applyAlignment="1">
      <alignment horizontal="right" vertical="center" shrinkToFit="1"/>
    </xf>
    <xf numFmtId="188" fontId="106" fillId="9" borderId="27" xfId="0" applyNumberFormat="1" applyFont="1" applyFill="1" applyBorder="1" applyAlignment="1">
      <alignment horizontal="right" vertical="center" shrinkToFit="1"/>
    </xf>
    <xf numFmtId="177" fontId="9" fillId="9" borderId="28" xfId="1" applyNumberFormat="1" applyFont="1" applyFill="1" applyBorder="1" applyAlignment="1">
      <alignment vertical="center" shrinkToFit="1"/>
    </xf>
    <xf numFmtId="38" fontId="25" fillId="9" borderId="29" xfId="1" applyFont="1" applyFill="1" applyBorder="1" applyAlignment="1">
      <alignment vertical="center" shrinkToFit="1"/>
    </xf>
    <xf numFmtId="38" fontId="25" fillId="9" borderId="26" xfId="1" applyFont="1" applyFill="1" applyBorder="1" applyAlignment="1">
      <alignment vertical="center" shrinkToFit="1"/>
    </xf>
    <xf numFmtId="38" fontId="5" fillId="9" borderId="27" xfId="1" applyFont="1" applyFill="1" applyBorder="1" applyAlignment="1">
      <alignment vertical="center" shrinkToFit="1"/>
    </xf>
    <xf numFmtId="38" fontId="5" fillId="9" borderId="28" xfId="1" applyFont="1" applyFill="1" applyBorder="1" applyAlignment="1">
      <alignment vertical="center" shrinkToFit="1"/>
    </xf>
    <xf numFmtId="38" fontId="26" fillId="9" borderId="27" xfId="1" applyFont="1" applyFill="1" applyBorder="1" applyAlignment="1">
      <alignment horizontal="center" vertical="center" shrinkToFit="1"/>
    </xf>
    <xf numFmtId="38" fontId="44" fillId="9" borderId="27" xfId="1" applyFont="1" applyFill="1" applyBorder="1" applyAlignment="1">
      <alignment horizontal="center" vertical="center" shrinkToFit="1"/>
    </xf>
    <xf numFmtId="38" fontId="5" fillId="9" borderId="27" xfId="1" applyFont="1" applyFill="1" applyBorder="1" applyAlignment="1">
      <alignment horizontal="center" vertical="center" shrinkToFit="1"/>
    </xf>
    <xf numFmtId="38" fontId="0" fillId="9" borderId="27" xfId="1" applyFont="1" applyFill="1" applyBorder="1" applyAlignment="1">
      <alignment horizontal="right" vertical="center" shrinkToFit="1"/>
    </xf>
    <xf numFmtId="38" fontId="2" fillId="9" borderId="36" xfId="1" applyFill="1" applyBorder="1" applyAlignment="1">
      <alignment vertical="center" shrinkToFit="1"/>
    </xf>
    <xf numFmtId="38" fontId="67" fillId="9" borderId="36" xfId="1" applyFont="1" applyFill="1" applyBorder="1" applyAlignment="1">
      <alignment vertical="center" shrinkToFit="1"/>
    </xf>
    <xf numFmtId="38" fontId="5" fillId="9" borderId="27" xfId="1" applyFont="1" applyFill="1" applyBorder="1" applyAlignment="1">
      <alignment horizontal="right" vertical="center" shrinkToFit="1"/>
    </xf>
    <xf numFmtId="38" fontId="5" fillId="9" borderId="26" xfId="1" applyFont="1" applyFill="1" applyBorder="1" applyAlignment="1">
      <alignment vertical="center" shrinkToFit="1"/>
    </xf>
    <xf numFmtId="38" fontId="5" fillId="9" borderId="23" xfId="1" applyFont="1" applyFill="1" applyBorder="1" applyAlignment="1">
      <alignment vertical="center" shrinkToFit="1"/>
    </xf>
    <xf numFmtId="177" fontId="5" fillId="9" borderId="26" xfId="1" applyNumberFormat="1" applyFont="1" applyFill="1" applyBorder="1" applyAlignment="1">
      <alignment vertical="center" shrinkToFit="1"/>
    </xf>
    <xf numFmtId="38" fontId="5" fillId="9" borderId="31" xfId="1" applyFont="1" applyFill="1" applyBorder="1" applyAlignment="1">
      <alignment vertical="center" shrinkToFit="1"/>
    </xf>
    <xf numFmtId="38" fontId="29" fillId="9" borderId="32" xfId="1" applyFont="1" applyFill="1" applyBorder="1" applyAlignment="1">
      <alignment vertical="center" shrinkToFit="1"/>
    </xf>
    <xf numFmtId="0" fontId="5" fillId="9" borderId="23" xfId="0" applyFont="1" applyFill="1" applyBorder="1" applyAlignment="1">
      <alignment vertical="center" wrapText="1"/>
    </xf>
    <xf numFmtId="49" fontId="5" fillId="0" borderId="23" xfId="0" applyNumberFormat="1" applyFont="1" applyBorder="1" applyAlignment="1">
      <alignment horizontal="center" vertical="center" shrinkToFit="1"/>
    </xf>
    <xf numFmtId="49" fontId="5" fillId="0" borderId="34" xfId="0" applyNumberFormat="1" applyFont="1" applyBorder="1" applyAlignment="1">
      <alignment horizontal="center" vertical="center" shrinkToFit="1"/>
    </xf>
    <xf numFmtId="49" fontId="68" fillId="0" borderId="34" xfId="0" applyNumberFormat="1" applyFont="1" applyBorder="1" applyAlignment="1">
      <alignment horizontal="center" vertical="center" shrinkToFit="1"/>
    </xf>
    <xf numFmtId="0" fontId="74" fillId="0" borderId="71" xfId="0" applyFont="1" applyBorder="1" applyAlignment="1">
      <alignment horizontal="center" vertical="center" shrinkToFit="1"/>
    </xf>
    <xf numFmtId="0" fontId="68" fillId="0" borderId="46" xfId="0" applyFont="1" applyBorder="1" applyAlignment="1">
      <alignment vertical="center" wrapText="1"/>
    </xf>
    <xf numFmtId="0" fontId="11" fillId="0" borderId="59" xfId="0" applyFont="1" applyBorder="1" applyAlignment="1">
      <alignment vertical="center" wrapText="1" shrinkToFit="1"/>
    </xf>
    <xf numFmtId="38" fontId="25" fillId="0" borderId="59" xfId="1" applyFont="1" applyFill="1" applyBorder="1" applyAlignment="1">
      <alignment vertical="center" shrinkToFit="1"/>
    </xf>
    <xf numFmtId="38" fontId="5" fillId="0" borderId="59" xfId="1" applyFont="1" applyBorder="1" applyAlignment="1">
      <alignment horizontal="center" vertical="center" shrinkToFit="1"/>
    </xf>
    <xf numFmtId="38" fontId="5" fillId="0" borderId="64" xfId="1" applyFont="1" applyBorder="1" applyAlignment="1">
      <alignment horizontal="center" vertical="center" shrinkToFit="1"/>
    </xf>
    <xf numFmtId="38" fontId="2" fillId="0" borderId="64" xfId="1" applyBorder="1" applyAlignment="1">
      <alignment horizontal="right" vertical="center" shrinkToFit="1"/>
    </xf>
    <xf numFmtId="177" fontId="5" fillId="0" borderId="57" xfId="1" applyNumberFormat="1" applyFont="1" applyBorder="1" applyAlignment="1">
      <alignment vertical="center" shrinkToFit="1"/>
    </xf>
    <xf numFmtId="38" fontId="5" fillId="0" borderId="63" xfId="1" applyFont="1" applyBorder="1" applyAlignment="1">
      <alignment vertical="center" shrinkToFit="1"/>
    </xf>
    <xf numFmtId="38" fontId="5" fillId="0" borderId="0" xfId="1" applyFont="1" applyBorder="1" applyAlignment="1">
      <alignment horizontal="center" vertical="center" shrinkToFit="1"/>
    </xf>
    <xf numFmtId="38" fontId="5" fillId="0" borderId="143" xfId="1" applyFont="1" applyBorder="1" applyAlignment="1">
      <alignment vertical="center" shrinkToFit="1"/>
    </xf>
    <xf numFmtId="38" fontId="33" fillId="0" borderId="98" xfId="1" applyFont="1" applyBorder="1" applyAlignment="1">
      <alignment vertical="center" shrinkToFit="1"/>
    </xf>
    <xf numFmtId="38" fontId="5" fillId="0" borderId="144" xfId="1" applyFont="1" applyBorder="1" applyAlignment="1">
      <alignment vertical="center" shrinkToFit="1"/>
    </xf>
    <xf numFmtId="38" fontId="5" fillId="0" borderId="59" xfId="0" applyNumberFormat="1" applyFont="1" applyBorder="1">
      <alignment vertical="center"/>
    </xf>
    <xf numFmtId="38" fontId="5" fillId="0" borderId="54" xfId="0" applyNumberFormat="1" applyFont="1" applyBorder="1" applyAlignment="1">
      <alignment vertical="center" wrapText="1"/>
    </xf>
    <xf numFmtId="188" fontId="105" fillId="0" borderId="58" xfId="0" applyNumberFormat="1" applyFont="1" applyBorder="1" applyAlignment="1">
      <alignment horizontal="right" vertical="center" wrapText="1"/>
    </xf>
    <xf numFmtId="177" fontId="25" fillId="0" borderId="59" xfId="1" applyNumberFormat="1" applyFont="1" applyFill="1" applyBorder="1" applyAlignment="1">
      <alignment vertical="center" shrinkToFit="1"/>
    </xf>
    <xf numFmtId="177" fontId="37" fillId="0" borderId="59" xfId="1" applyNumberFormat="1" applyFont="1" applyFill="1" applyBorder="1" applyAlignment="1">
      <alignment vertical="center" shrinkToFit="1"/>
    </xf>
    <xf numFmtId="38" fontId="5" fillId="0" borderId="58" xfId="1" applyFont="1" applyFill="1" applyBorder="1" applyAlignment="1">
      <alignment horizontal="right" vertical="center" wrapText="1"/>
    </xf>
    <xf numFmtId="38" fontId="25" fillId="0" borderId="145" xfId="1" applyFont="1" applyBorder="1" applyAlignment="1">
      <alignment vertical="center" shrinkToFit="1"/>
    </xf>
    <xf numFmtId="38" fontId="5" fillId="0" borderId="68" xfId="1" applyFont="1" applyFill="1" applyBorder="1" applyAlignment="1">
      <alignment horizontal="left" vertical="center" shrinkToFit="1"/>
    </xf>
    <xf numFmtId="0" fontId="3" fillId="0" borderId="69" xfId="0" applyFont="1" applyBorder="1" applyAlignment="1">
      <alignment vertical="center" wrapText="1" shrinkToFit="1"/>
    </xf>
    <xf numFmtId="49" fontId="5" fillId="0" borderId="70" xfId="0" applyNumberFormat="1" applyFont="1" applyBorder="1" applyAlignment="1">
      <alignment vertical="center" wrapText="1"/>
    </xf>
    <xf numFmtId="49" fontId="10" fillId="0" borderId="68" xfId="0" applyNumberFormat="1" applyFont="1" applyBorder="1" applyAlignment="1">
      <alignment vertical="center" wrapText="1"/>
    </xf>
    <xf numFmtId="38" fontId="5" fillId="0" borderId="34" xfId="1" applyFont="1" applyFill="1" applyBorder="1" applyAlignment="1">
      <alignment horizontal="left" vertical="center" shrinkToFit="1"/>
    </xf>
    <xf numFmtId="0" fontId="3" fillId="0" borderId="87" xfId="0" applyFont="1" applyBorder="1" applyAlignment="1">
      <alignment vertical="center" wrapText="1" shrinkToFit="1"/>
    </xf>
    <xf numFmtId="38" fontId="5" fillId="0" borderId="23" xfId="1" applyFont="1" applyFill="1" applyBorder="1" applyAlignment="1">
      <alignment horizontal="left" vertical="center" shrinkToFit="1"/>
    </xf>
    <xf numFmtId="0" fontId="5" fillId="11" borderId="26" xfId="0" applyFont="1" applyFill="1" applyBorder="1" applyAlignment="1">
      <alignment vertical="center" shrinkToFit="1"/>
    </xf>
    <xf numFmtId="0" fontId="112" fillId="0" borderId="27" xfId="0" applyFont="1" applyBorder="1" applyAlignment="1">
      <alignment horizontal="center" vertical="center" shrinkToFit="1"/>
    </xf>
    <xf numFmtId="0" fontId="7" fillId="0" borderId="39" xfId="0" applyFont="1" applyBorder="1" applyAlignment="1">
      <alignment horizontal="center" vertical="center" shrinkToFit="1"/>
    </xf>
    <xf numFmtId="0" fontId="9" fillId="0" borderId="33" xfId="0" applyFont="1" applyBorder="1" applyAlignment="1">
      <alignment horizontal="left" vertical="center" shrinkToFit="1"/>
    </xf>
    <xf numFmtId="0" fontId="13" fillId="0" borderId="0" xfId="0" applyFont="1" applyAlignment="1">
      <alignment horizontal="center" vertical="center"/>
    </xf>
    <xf numFmtId="176" fontId="47" fillId="0" borderId="26" xfId="0" applyNumberFormat="1" applyFont="1" applyBorder="1" applyAlignment="1">
      <alignment horizontal="left" vertical="center" shrinkToFit="1"/>
    </xf>
    <xf numFmtId="38" fontId="47" fillId="0" borderId="27" xfId="1" applyFont="1" applyFill="1" applyBorder="1" applyAlignment="1">
      <alignment horizontal="right" vertical="center" shrinkToFit="1"/>
    </xf>
    <xf numFmtId="38" fontId="47" fillId="0" borderId="32" xfId="1" applyFont="1" applyBorder="1" applyAlignment="1">
      <alignment vertical="center" shrinkToFit="1"/>
    </xf>
    <xf numFmtId="0" fontId="48" fillId="0" borderId="0" xfId="0" applyFont="1">
      <alignment vertical="center"/>
    </xf>
    <xf numFmtId="178" fontId="48" fillId="0" borderId="0" xfId="0" applyNumberFormat="1" applyFont="1" applyAlignment="1">
      <alignment horizontal="center" vertical="center"/>
    </xf>
    <xf numFmtId="0" fontId="13" fillId="0" borderId="0" xfId="0" applyFont="1">
      <alignment vertical="center"/>
    </xf>
    <xf numFmtId="38" fontId="5" fillId="19" borderId="23" xfId="1" applyFont="1" applyFill="1" applyBorder="1" applyAlignment="1">
      <alignment horizontal="left" vertical="center" shrinkToFit="1"/>
    </xf>
    <xf numFmtId="49" fontId="5" fillId="19" borderId="23" xfId="0" applyNumberFormat="1" applyFont="1" applyFill="1" applyBorder="1" applyAlignment="1">
      <alignment horizontal="center" vertical="center"/>
    </xf>
    <xf numFmtId="0" fontId="11" fillId="19" borderId="24" xfId="0" applyFont="1" applyFill="1" applyBorder="1" applyAlignment="1">
      <alignment vertical="center" shrinkToFit="1"/>
    </xf>
    <xf numFmtId="0" fontId="18" fillId="19" borderId="26" xfId="0" applyFont="1" applyFill="1" applyBorder="1" applyAlignment="1">
      <alignment vertical="center" wrapText="1"/>
    </xf>
    <xf numFmtId="0" fontId="5" fillId="19" borderId="23" xfId="0" applyFont="1" applyFill="1" applyBorder="1" applyAlignment="1">
      <alignment horizontal="center" vertical="center" shrinkToFit="1"/>
    </xf>
    <xf numFmtId="0" fontId="5" fillId="19" borderId="26" xfId="0" applyFont="1" applyFill="1" applyBorder="1" applyAlignment="1">
      <alignment vertical="center" wrapText="1"/>
    </xf>
    <xf numFmtId="0" fontId="9" fillId="19" borderId="28" xfId="0" applyFont="1" applyFill="1" applyBorder="1" applyAlignment="1">
      <alignment vertical="center" shrinkToFit="1"/>
    </xf>
    <xf numFmtId="49" fontId="9" fillId="19" borderId="33" xfId="0" applyNumberFormat="1" applyFont="1" applyFill="1" applyBorder="1" applyAlignment="1">
      <alignment horizontal="left" vertical="center" shrinkToFit="1"/>
    </xf>
    <xf numFmtId="0" fontId="65" fillId="19" borderId="27" xfId="0" applyFont="1" applyFill="1" applyBorder="1" applyAlignment="1">
      <alignment horizontal="center" vertical="center" shrinkToFit="1"/>
    </xf>
    <xf numFmtId="176" fontId="5" fillId="19" borderId="22" xfId="0" applyNumberFormat="1" applyFont="1" applyFill="1" applyBorder="1" applyAlignment="1">
      <alignment horizontal="right" vertical="center" shrinkToFit="1"/>
    </xf>
    <xf numFmtId="0" fontId="5" fillId="19" borderId="26" xfId="0" applyFont="1" applyFill="1" applyBorder="1" applyAlignment="1">
      <alignment horizontal="center" vertical="center" shrinkToFit="1"/>
    </xf>
    <xf numFmtId="176" fontId="5" fillId="19" borderId="26" xfId="0" applyNumberFormat="1" applyFont="1" applyFill="1" applyBorder="1" applyAlignment="1">
      <alignment horizontal="left" vertical="center" shrinkToFit="1"/>
    </xf>
    <xf numFmtId="177" fontId="2" fillId="19" borderId="28" xfId="1" applyNumberFormat="1" applyFont="1" applyFill="1" applyBorder="1" applyAlignment="1">
      <alignment horizontal="right" vertical="center" shrinkToFit="1"/>
    </xf>
    <xf numFmtId="188" fontId="105" fillId="19" borderId="27" xfId="0" applyNumberFormat="1" applyFont="1" applyFill="1" applyBorder="1" applyAlignment="1">
      <alignment horizontal="right" vertical="center" shrinkToFit="1"/>
    </xf>
    <xf numFmtId="177" fontId="9" fillId="19" borderId="28" xfId="1" applyNumberFormat="1" applyFont="1" applyFill="1" applyBorder="1" applyAlignment="1">
      <alignment vertical="center" shrinkToFit="1"/>
    </xf>
    <xf numFmtId="38" fontId="25" fillId="19" borderId="29" xfId="1" applyFont="1" applyFill="1" applyBorder="1" applyAlignment="1">
      <alignment vertical="center" shrinkToFit="1"/>
    </xf>
    <xf numFmtId="38" fontId="25" fillId="19" borderId="26" xfId="1" applyFont="1" applyFill="1" applyBorder="1" applyAlignment="1">
      <alignment vertical="center" shrinkToFit="1"/>
    </xf>
    <xf numFmtId="177" fontId="66" fillId="19" borderId="28" xfId="1" applyNumberFormat="1" applyFont="1" applyFill="1" applyBorder="1" applyAlignment="1">
      <alignment vertical="center" shrinkToFit="1"/>
    </xf>
    <xf numFmtId="177" fontId="7" fillId="19" borderId="27" xfId="1" applyNumberFormat="1" applyFont="1" applyFill="1" applyBorder="1" applyAlignment="1">
      <alignment vertical="center" shrinkToFit="1"/>
    </xf>
    <xf numFmtId="38" fontId="5" fillId="19" borderId="27" xfId="1" applyFont="1" applyFill="1" applyBorder="1" applyAlignment="1">
      <alignment vertical="center" shrinkToFit="1"/>
    </xf>
    <xf numFmtId="38" fontId="5" fillId="19" borderId="28" xfId="1" applyFont="1" applyFill="1" applyBorder="1" applyAlignment="1">
      <alignment vertical="center" shrinkToFit="1"/>
    </xf>
    <xf numFmtId="176" fontId="34" fillId="19" borderId="27" xfId="1" applyNumberFormat="1" applyFont="1" applyFill="1" applyBorder="1" applyAlignment="1">
      <alignment horizontal="center" vertical="center" shrinkToFit="1"/>
    </xf>
    <xf numFmtId="38" fontId="5" fillId="19" borderId="33" xfId="1" applyFont="1" applyFill="1" applyBorder="1" applyAlignment="1">
      <alignment horizontal="center" vertical="center" shrinkToFit="1"/>
    </xf>
    <xf numFmtId="38" fontId="5" fillId="19" borderId="27" xfId="1" applyFont="1" applyFill="1" applyBorder="1" applyAlignment="1">
      <alignment horizontal="center" vertical="center" shrinkToFit="1"/>
    </xf>
    <xf numFmtId="38" fontId="2" fillId="19" borderId="27" xfId="1" applyFill="1" applyBorder="1" applyAlignment="1">
      <alignment horizontal="right" vertical="center" shrinkToFit="1"/>
    </xf>
    <xf numFmtId="38" fontId="2" fillId="19" borderId="36" xfId="1" applyFill="1" applyBorder="1" applyAlignment="1">
      <alignment vertical="center" shrinkToFit="1"/>
    </xf>
    <xf numFmtId="38" fontId="5" fillId="19" borderId="27" xfId="1" applyFont="1" applyFill="1" applyBorder="1" applyAlignment="1">
      <alignment horizontal="right" vertical="center" shrinkToFit="1"/>
    </xf>
    <xf numFmtId="38" fontId="5" fillId="19" borderId="26" xfId="1" applyFont="1" applyFill="1" applyBorder="1" applyAlignment="1">
      <alignment vertical="center" shrinkToFit="1"/>
    </xf>
    <xf numFmtId="38" fontId="5" fillId="19" borderId="23" xfId="1" applyFont="1" applyFill="1" applyBorder="1" applyAlignment="1">
      <alignment vertical="center" shrinkToFit="1"/>
    </xf>
    <xf numFmtId="177" fontId="5" fillId="19" borderId="26" xfId="1" applyNumberFormat="1" applyFont="1" applyFill="1" applyBorder="1" applyAlignment="1">
      <alignment vertical="center" shrinkToFit="1"/>
    </xf>
    <xf numFmtId="38" fontId="5" fillId="19" borderId="31" xfId="1" applyFont="1" applyFill="1" applyBorder="1" applyAlignment="1">
      <alignment vertical="center" shrinkToFit="1"/>
    </xf>
    <xf numFmtId="38" fontId="29" fillId="19" borderId="32" xfId="1" applyFont="1" applyFill="1" applyBorder="1" applyAlignment="1">
      <alignment vertical="center" shrinkToFit="1"/>
    </xf>
    <xf numFmtId="0" fontId="10" fillId="19" borderId="23" xfId="0" applyFont="1" applyFill="1" applyBorder="1" applyAlignment="1">
      <alignment vertical="center" wrapText="1"/>
    </xf>
    <xf numFmtId="0" fontId="11" fillId="0" borderId="24" xfId="0" applyFont="1" applyBorder="1" applyAlignment="1">
      <alignment vertical="center" shrinkToFit="1"/>
    </xf>
    <xf numFmtId="0" fontId="5" fillId="0" borderId="23" xfId="0" applyFont="1" applyBorder="1" applyAlignment="1">
      <alignment vertical="center" shrinkToFit="1"/>
    </xf>
    <xf numFmtId="179" fontId="5" fillId="0" borderId="26" xfId="0" applyNumberFormat="1" applyFont="1" applyBorder="1" applyAlignment="1">
      <alignment horizontal="left" vertical="center" shrinkToFit="1"/>
    </xf>
    <xf numFmtId="177" fontId="0" fillId="0" borderId="28" xfId="1" applyNumberFormat="1" applyFont="1" applyFill="1" applyBorder="1" applyAlignment="1">
      <alignment horizontal="right" vertical="center" shrinkToFit="1"/>
    </xf>
    <xf numFmtId="177" fontId="0" fillId="13" borderId="28" xfId="1" applyNumberFormat="1" applyFont="1" applyFill="1" applyBorder="1" applyAlignment="1">
      <alignment vertical="center" shrinkToFit="1"/>
    </xf>
    <xf numFmtId="0" fontId="50" fillId="0" borderId="23" xfId="0" applyFont="1" applyBorder="1" applyAlignment="1">
      <alignment horizontal="center" vertical="center" shrinkToFit="1"/>
    </xf>
    <xf numFmtId="176" fontId="50" fillId="0" borderId="22" xfId="0" applyNumberFormat="1" applyFont="1" applyBorder="1" applyAlignment="1">
      <alignment horizontal="right" vertical="center" shrinkToFit="1"/>
    </xf>
    <xf numFmtId="179" fontId="29" fillId="0" borderId="26" xfId="0" applyNumberFormat="1" applyFont="1" applyBorder="1" applyAlignment="1">
      <alignment horizontal="left" vertical="center" shrinkToFit="1"/>
    </xf>
    <xf numFmtId="38" fontId="33" fillId="0" borderId="26" xfId="1" applyFont="1" applyFill="1" applyBorder="1" applyAlignment="1">
      <alignment vertical="center" shrinkToFit="1"/>
    </xf>
    <xf numFmtId="38" fontId="94" fillId="8" borderId="36" xfId="1" applyFont="1" applyFill="1" applyBorder="1" applyAlignment="1">
      <alignment vertical="center" shrinkToFit="1"/>
    </xf>
    <xf numFmtId="38" fontId="29" fillId="0" borderId="27" xfId="1" applyFont="1" applyFill="1" applyBorder="1" applyAlignment="1">
      <alignment horizontal="right" vertical="center" shrinkToFit="1"/>
    </xf>
    <xf numFmtId="0" fontId="17" fillId="0" borderId="23" xfId="0" applyFont="1" applyBorder="1" applyAlignment="1">
      <alignment vertical="center" shrinkToFit="1"/>
    </xf>
    <xf numFmtId="38" fontId="26" fillId="19" borderId="27" xfId="1" applyFont="1" applyFill="1" applyBorder="1" applyAlignment="1">
      <alignment horizontal="center" vertical="center" shrinkToFit="1"/>
    </xf>
    <xf numFmtId="177" fontId="5" fillId="19" borderId="39" xfId="1" applyNumberFormat="1" applyFont="1" applyFill="1" applyBorder="1" applyAlignment="1">
      <alignment vertical="center" shrinkToFit="1"/>
    </xf>
    <xf numFmtId="0" fontId="5" fillId="19" borderId="23" xfId="0" applyFont="1" applyFill="1" applyBorder="1" applyAlignment="1">
      <alignment vertical="center" wrapText="1"/>
    </xf>
    <xf numFmtId="176" fontId="5" fillId="19" borderId="26" xfId="0" applyNumberFormat="1" applyFont="1" applyFill="1" applyBorder="1" applyAlignment="1">
      <alignment vertical="center" wrapText="1"/>
    </xf>
    <xf numFmtId="0" fontId="8" fillId="0" borderId="26" xfId="0" applyFont="1" applyBorder="1" applyAlignment="1">
      <alignment vertical="center" shrinkToFit="1"/>
    </xf>
    <xf numFmtId="177" fontId="5" fillId="19" borderId="83" xfId="1" applyNumberFormat="1" applyFont="1" applyFill="1" applyBorder="1" applyAlignment="1">
      <alignment vertical="center" shrinkToFit="1"/>
    </xf>
    <xf numFmtId="0" fontId="5" fillId="0" borderId="24" xfId="0" applyFont="1" applyBorder="1" applyAlignment="1">
      <alignment vertical="center" shrinkToFit="1"/>
    </xf>
    <xf numFmtId="0" fontId="49" fillId="0" borderId="28" xfId="0" applyFont="1" applyBorder="1" applyAlignment="1">
      <alignment vertical="center" shrinkToFit="1"/>
    </xf>
    <xf numFmtId="49" fontId="49" fillId="0" borderId="33" xfId="0" applyNumberFormat="1" applyFont="1" applyBorder="1" applyAlignment="1">
      <alignment horizontal="left" vertical="center" shrinkToFit="1"/>
    </xf>
    <xf numFmtId="176" fontId="29" fillId="0" borderId="22" xfId="0" applyNumberFormat="1" applyFont="1" applyBorder="1" applyAlignment="1">
      <alignment horizontal="right" vertical="center" shrinkToFit="1"/>
    </xf>
    <xf numFmtId="176" fontId="29" fillId="0" borderId="26" xfId="0" applyNumberFormat="1" applyFont="1" applyBorder="1" applyAlignment="1">
      <alignment horizontal="left" vertical="center" shrinkToFit="1"/>
    </xf>
    <xf numFmtId="0" fontId="5" fillId="0" borderId="24" xfId="0" applyFont="1" applyBorder="1" applyAlignment="1">
      <alignment horizontal="left" vertical="center" shrinkToFit="1"/>
    </xf>
    <xf numFmtId="0" fontId="5" fillId="19" borderId="24" xfId="0" applyFont="1" applyFill="1" applyBorder="1" applyAlignment="1">
      <alignment vertical="center" shrinkToFit="1"/>
    </xf>
    <xf numFmtId="0" fontId="49" fillId="19" borderId="28" xfId="0" applyFont="1" applyFill="1" applyBorder="1" applyAlignment="1">
      <alignment vertical="center" shrinkToFit="1"/>
    </xf>
    <xf numFmtId="49" fontId="49" fillId="19" borderId="33" xfId="0" applyNumberFormat="1" applyFont="1" applyFill="1" applyBorder="1" applyAlignment="1">
      <alignment horizontal="left" vertical="center" shrinkToFit="1"/>
    </xf>
    <xf numFmtId="176" fontId="29" fillId="19" borderId="26" xfId="0" applyNumberFormat="1" applyFont="1" applyFill="1" applyBorder="1" applyAlignment="1">
      <alignment horizontal="left" vertical="center" shrinkToFit="1"/>
    </xf>
    <xf numFmtId="38" fontId="29" fillId="19" borderId="27" xfId="1" applyFont="1" applyFill="1" applyBorder="1" applyAlignment="1">
      <alignment horizontal="right" vertical="center" shrinkToFit="1"/>
    </xf>
    <xf numFmtId="38" fontId="5" fillId="19" borderId="34" xfId="1" applyFont="1" applyFill="1" applyBorder="1" applyAlignment="1">
      <alignment vertical="center" shrinkToFit="1"/>
    </xf>
    <xf numFmtId="49" fontId="51" fillId="0" borderId="33" xfId="0" applyNumberFormat="1" applyFont="1" applyBorder="1" applyAlignment="1">
      <alignment horizontal="left" vertical="center" shrinkToFit="1"/>
    </xf>
    <xf numFmtId="176" fontId="14" fillId="0" borderId="22" xfId="0" applyNumberFormat="1" applyFont="1" applyBorder="1" applyAlignment="1">
      <alignment horizontal="right" vertical="center" shrinkToFit="1"/>
    </xf>
    <xf numFmtId="0" fontId="14" fillId="0" borderId="26" xfId="0" applyFont="1" applyBorder="1" applyAlignment="1">
      <alignment horizontal="center" vertical="center" shrinkToFit="1"/>
    </xf>
    <xf numFmtId="176" fontId="14" fillId="0" borderId="26" xfId="0" applyNumberFormat="1" applyFont="1" applyBorder="1" applyAlignment="1">
      <alignment horizontal="left" vertical="center" shrinkToFit="1"/>
    </xf>
    <xf numFmtId="38" fontId="14" fillId="0" borderId="27" xfId="1" applyFont="1" applyFill="1" applyBorder="1" applyAlignment="1">
      <alignment horizontal="right" vertical="center" shrinkToFit="1"/>
    </xf>
    <xf numFmtId="0" fontId="5" fillId="0" borderId="26" xfId="0" applyFont="1" applyBorder="1" applyAlignment="1">
      <alignment vertical="center" shrinkToFit="1"/>
    </xf>
    <xf numFmtId="49" fontId="46" fillId="0" borderId="33" xfId="0" applyNumberFormat="1" applyFont="1" applyBorder="1" applyAlignment="1">
      <alignment horizontal="left" vertical="center" shrinkToFit="1"/>
    </xf>
    <xf numFmtId="0" fontId="11" fillId="0" borderId="24" xfId="0" applyFont="1" applyBorder="1" applyAlignment="1">
      <alignment horizontal="center" vertical="center" shrinkToFit="1"/>
    </xf>
    <xf numFmtId="0" fontId="7" fillId="0" borderId="28" xfId="0" applyFont="1" applyBorder="1" applyAlignment="1">
      <alignment vertical="center" shrinkToFit="1"/>
    </xf>
    <xf numFmtId="49" fontId="7" fillId="0" borderId="33" xfId="0" applyNumberFormat="1" applyFont="1" applyBorder="1" applyAlignment="1">
      <alignment horizontal="left" vertical="center" shrinkToFit="1"/>
    </xf>
    <xf numFmtId="38" fontId="102" fillId="0" borderId="58" xfId="0" applyNumberFormat="1" applyFont="1" applyBorder="1" applyAlignment="1">
      <alignment vertical="center" shrinkToFit="1"/>
    </xf>
    <xf numFmtId="38" fontId="5" fillId="0" borderId="58" xfId="1" applyFont="1" applyBorder="1" applyAlignment="1">
      <alignment horizontal="right" vertical="center" shrinkToFit="1"/>
    </xf>
    <xf numFmtId="38" fontId="5" fillId="0" borderId="55" xfId="0" applyNumberFormat="1" applyFont="1" applyBorder="1" applyAlignment="1">
      <alignment vertical="center" wrapText="1"/>
    </xf>
    <xf numFmtId="178" fontId="7" fillId="0" borderId="0" xfId="0" applyNumberFormat="1" applyFont="1">
      <alignment vertical="center"/>
    </xf>
    <xf numFmtId="0" fontId="10" fillId="11" borderId="70" xfId="0" applyFont="1" applyFill="1" applyBorder="1" applyAlignment="1">
      <alignment vertical="center" wrapText="1"/>
    </xf>
    <xf numFmtId="0" fontId="7" fillId="0" borderId="74" xfId="0" applyFont="1" applyBorder="1" applyAlignment="1">
      <alignment vertical="center" shrinkToFit="1"/>
    </xf>
    <xf numFmtId="49" fontId="7" fillId="0" borderId="77" xfId="0" applyNumberFormat="1" applyFont="1" applyBorder="1" applyAlignment="1">
      <alignment horizontal="left" vertical="center" shrinkToFit="1"/>
    </xf>
    <xf numFmtId="0" fontId="113" fillId="11" borderId="73" xfId="0" applyFont="1" applyFill="1" applyBorder="1" applyAlignment="1">
      <alignment vertical="center" shrinkToFit="1"/>
    </xf>
    <xf numFmtId="177" fontId="2" fillId="0" borderId="74" xfId="1" applyNumberFormat="1" applyFont="1" applyBorder="1" applyAlignment="1">
      <alignment horizontal="right" vertical="center" shrinkToFit="1"/>
    </xf>
    <xf numFmtId="177" fontId="9" fillId="0" borderId="74" xfId="1" applyNumberFormat="1" applyFont="1" applyBorder="1" applyAlignment="1">
      <alignment vertical="center" shrinkToFit="1"/>
    </xf>
    <xf numFmtId="38" fontId="5" fillId="0" borderId="73" xfId="1" applyFont="1" applyBorder="1" applyAlignment="1">
      <alignment horizontal="right" vertical="center" shrinkToFit="1"/>
    </xf>
    <xf numFmtId="0" fontId="10" fillId="0" borderId="39" xfId="0" applyFont="1" applyBorder="1" applyAlignment="1">
      <alignment vertical="center" wrapText="1"/>
    </xf>
    <xf numFmtId="0" fontId="7" fillId="0" borderId="85" xfId="0" applyFont="1" applyBorder="1" applyAlignment="1">
      <alignment vertical="center" shrinkToFit="1"/>
    </xf>
    <xf numFmtId="49" fontId="7" fillId="0" borderId="41" xfId="0" applyNumberFormat="1" applyFont="1" applyBorder="1" applyAlignment="1">
      <alignment horizontal="left" vertical="center" shrinkToFit="1"/>
    </xf>
    <xf numFmtId="0" fontId="113" fillId="0" borderId="71" xfId="0" applyFont="1" applyBorder="1" applyAlignment="1">
      <alignment vertical="center" shrinkToFit="1"/>
    </xf>
    <xf numFmtId="177" fontId="9" fillId="0" borderId="85" xfId="1" applyNumberFormat="1" applyFont="1" applyBorder="1" applyAlignment="1">
      <alignment vertical="center" shrinkToFit="1"/>
    </xf>
    <xf numFmtId="38" fontId="25" fillId="0" borderId="39" xfId="1" applyFont="1" applyBorder="1" applyAlignment="1">
      <alignment vertical="center" shrinkToFit="1"/>
    </xf>
    <xf numFmtId="38" fontId="5" fillId="0" borderId="41" xfId="1" applyFont="1" applyBorder="1" applyAlignment="1">
      <alignment vertical="center" shrinkToFit="1"/>
    </xf>
    <xf numFmtId="38" fontId="5" fillId="0" borderId="71" xfId="1" applyFont="1" applyBorder="1" applyAlignment="1">
      <alignment horizontal="right" vertical="center" shrinkToFit="1"/>
    </xf>
    <xf numFmtId="0" fontId="10" fillId="0" borderId="26" xfId="0" applyFont="1" applyBorder="1" applyAlignment="1">
      <alignment vertical="center" wrapText="1"/>
    </xf>
    <xf numFmtId="0" fontId="113" fillId="0" borderId="27" xfId="0" applyFont="1" applyBorder="1" applyAlignment="1">
      <alignment vertical="center" shrinkToFit="1"/>
    </xf>
    <xf numFmtId="38" fontId="5" fillId="0" borderId="27" xfId="1" applyFont="1" applyBorder="1" applyAlignment="1">
      <alignment horizontal="right" vertical="center" shrinkToFit="1"/>
    </xf>
    <xf numFmtId="0" fontId="113" fillId="0" borderId="106" xfId="0" applyFont="1" applyBorder="1" applyAlignment="1">
      <alignment vertical="center" shrinkToFit="1"/>
    </xf>
    <xf numFmtId="184" fontId="0" fillId="0" borderId="54" xfId="0" applyNumberFormat="1" applyBorder="1" applyAlignment="1">
      <alignment vertical="center" wrapText="1"/>
    </xf>
    <xf numFmtId="184" fontId="114" fillId="0" borderId="57" xfId="0" applyNumberFormat="1" applyFont="1" applyBorder="1" applyAlignment="1">
      <alignment vertical="center" wrapText="1"/>
    </xf>
    <xf numFmtId="184" fontId="2" fillId="0" borderId="54" xfId="0" applyNumberFormat="1" applyFont="1" applyBorder="1" applyAlignment="1">
      <alignment vertical="center" wrapText="1"/>
    </xf>
    <xf numFmtId="184" fontId="2" fillId="0" borderId="57" xfId="0" applyNumberFormat="1" applyFont="1" applyBorder="1" applyAlignment="1">
      <alignment vertical="center" wrapText="1"/>
    </xf>
    <xf numFmtId="184" fontId="6" fillId="0" borderId="55" xfId="0" applyNumberFormat="1" applyFont="1" applyBorder="1" applyAlignment="1">
      <alignment vertical="center" wrapText="1"/>
    </xf>
    <xf numFmtId="184" fontId="102" fillId="0" borderId="57" xfId="0" applyNumberFormat="1" applyFont="1" applyBorder="1" applyAlignment="1">
      <alignment vertical="center" wrapText="1"/>
    </xf>
    <xf numFmtId="177" fontId="6" fillId="0" borderId="57" xfId="0" applyNumberFormat="1" applyFont="1" applyBorder="1" applyAlignment="1">
      <alignment horizontal="left" vertical="center" shrinkToFit="1"/>
    </xf>
    <xf numFmtId="176" fontId="57" fillId="0" borderId="57" xfId="0" applyNumberFormat="1" applyFont="1" applyBorder="1" applyAlignment="1">
      <alignment horizontal="left" vertical="center" shrinkToFit="1"/>
    </xf>
    <xf numFmtId="177" fontId="96" fillId="13" borderId="58" xfId="1" applyNumberFormat="1" applyFont="1" applyFill="1" applyBorder="1" applyAlignment="1">
      <alignment vertical="center" shrinkToFit="1"/>
    </xf>
    <xf numFmtId="0" fontId="36" fillId="0" borderId="57" xfId="0" applyFont="1" applyBorder="1" applyAlignment="1">
      <alignment vertical="center" wrapText="1"/>
    </xf>
    <xf numFmtId="185" fontId="6" fillId="0" borderId="55" xfId="0" applyNumberFormat="1" applyFont="1" applyBorder="1" applyAlignment="1">
      <alignment vertical="center" wrapText="1"/>
    </xf>
    <xf numFmtId="185" fontId="102" fillId="0" borderId="57" xfId="0" applyNumberFormat="1" applyFont="1" applyBorder="1" applyAlignment="1">
      <alignment vertical="center" wrapText="1"/>
    </xf>
    <xf numFmtId="185" fontId="2" fillId="0" borderId="57" xfId="0" applyNumberFormat="1" applyFont="1" applyBorder="1" applyAlignment="1">
      <alignment vertical="center" wrapText="1"/>
    </xf>
    <xf numFmtId="38" fontId="2" fillId="0" borderId="146" xfId="1" applyBorder="1" applyAlignment="1">
      <alignment vertical="center" shrinkToFit="1"/>
    </xf>
    <xf numFmtId="0" fontId="11" fillId="0" borderId="26" xfId="0" applyFont="1" applyBorder="1" applyAlignment="1">
      <alignment vertical="center" wrapText="1" shrinkToFit="1"/>
    </xf>
    <xf numFmtId="38" fontId="5" fillId="0" borderId="26" xfId="0" applyNumberFormat="1" applyFont="1" applyBorder="1" applyAlignment="1">
      <alignment vertical="center" wrapText="1"/>
    </xf>
    <xf numFmtId="0" fontId="7" fillId="0" borderId="26" xfId="0" applyFont="1" applyBorder="1" applyAlignment="1">
      <alignment vertical="center" shrinkToFit="1"/>
    </xf>
    <xf numFmtId="49" fontId="7" fillId="0" borderId="26" xfId="0" applyNumberFormat="1" applyFont="1" applyBorder="1" applyAlignment="1">
      <alignment horizontal="left" vertical="center" shrinkToFit="1"/>
    </xf>
    <xf numFmtId="38" fontId="102" fillId="0" borderId="26" xfId="0" applyNumberFormat="1" applyFont="1" applyBorder="1" applyAlignment="1">
      <alignment vertical="center" wrapText="1"/>
    </xf>
    <xf numFmtId="176" fontId="5" fillId="0" borderId="26" xfId="0" applyNumberFormat="1" applyFont="1" applyBorder="1" applyAlignment="1">
      <alignment horizontal="right" vertical="center" shrinkToFit="1"/>
    </xf>
    <xf numFmtId="176" fontId="57" fillId="0" borderId="26" xfId="0" applyNumberFormat="1" applyFont="1" applyBorder="1" applyAlignment="1">
      <alignment horizontal="left" vertical="center" shrinkToFit="1"/>
    </xf>
    <xf numFmtId="38" fontId="60" fillId="0" borderId="26" xfId="1" applyFont="1" applyBorder="1" applyAlignment="1">
      <alignment vertical="center" shrinkToFit="1"/>
    </xf>
    <xf numFmtId="38" fontId="55" fillId="0" borderId="26" xfId="1" applyFont="1" applyBorder="1" applyAlignment="1">
      <alignment vertical="center" shrinkToFit="1"/>
    </xf>
    <xf numFmtId="0" fontId="5" fillId="0" borderId="147" xfId="0" applyFont="1" applyBorder="1" applyAlignment="1">
      <alignment vertical="center" wrapText="1"/>
    </xf>
    <xf numFmtId="186" fontId="24" fillId="5" borderId="35" xfId="1" applyNumberFormat="1" applyFont="1" applyFill="1" applyBorder="1" applyAlignment="1">
      <alignment vertical="center" wrapText="1" shrinkToFit="1"/>
    </xf>
    <xf numFmtId="0" fontId="5" fillId="0" borderId="109" xfId="0" applyFont="1" applyBorder="1" applyAlignment="1">
      <alignment vertical="center" wrapText="1"/>
    </xf>
    <xf numFmtId="49" fontId="5" fillId="0" borderId="26" xfId="0" applyNumberFormat="1" applyFont="1" applyBorder="1" applyAlignment="1">
      <alignment horizontal="center" vertical="center"/>
    </xf>
    <xf numFmtId="38" fontId="102" fillId="0" borderId="26" xfId="1" applyFont="1" applyBorder="1" applyAlignment="1">
      <alignment vertical="center" wrapText="1"/>
    </xf>
    <xf numFmtId="0" fontId="0" fillId="0" borderId="26" xfId="0" applyBorder="1" applyAlignment="1">
      <alignment horizontal="left" vertical="center"/>
    </xf>
    <xf numFmtId="176" fontId="5" fillId="0" borderId="148" xfId="0" applyNumberFormat="1" applyFont="1" applyBorder="1" applyAlignment="1">
      <alignment horizontal="left" vertical="center" shrinkToFit="1"/>
    </xf>
    <xf numFmtId="176" fontId="57" fillId="0" borderId="46" xfId="0" applyNumberFormat="1" applyFont="1" applyBorder="1" applyAlignment="1">
      <alignment horizontal="left" vertical="center" shrinkToFit="1"/>
    </xf>
    <xf numFmtId="177" fontId="5" fillId="0" borderId="149" xfId="1" applyNumberFormat="1" applyFont="1" applyBorder="1" applyAlignment="1">
      <alignment vertical="center" shrinkToFit="1"/>
    </xf>
    <xf numFmtId="177" fontId="7" fillId="0" borderId="150" xfId="1" applyNumberFormat="1" applyFont="1" applyBorder="1" applyAlignment="1">
      <alignment vertical="center" shrinkToFit="1"/>
    </xf>
    <xf numFmtId="38" fontId="2" fillId="0" borderId="26" xfId="1" applyBorder="1" applyAlignment="1">
      <alignment horizontal="right" vertical="center" shrinkToFit="1"/>
    </xf>
    <xf numFmtId="38" fontId="5" fillId="0" borderId="109" xfId="0" applyNumberFormat="1" applyFont="1" applyBorder="1" applyAlignment="1">
      <alignment horizontal="left" vertical="center"/>
    </xf>
    <xf numFmtId="38" fontId="115" fillId="0" borderId="0" xfId="1" applyFont="1" applyAlignment="1">
      <alignment horizontal="center" vertical="center" wrapText="1"/>
    </xf>
    <xf numFmtId="38" fontId="116" fillId="0" borderId="0" xfId="1" applyFont="1" applyAlignment="1">
      <alignment vertical="center" shrinkToFit="1"/>
    </xf>
    <xf numFmtId="38" fontId="2" fillId="0" borderId="46" xfId="1" applyBorder="1">
      <alignment vertical="center"/>
    </xf>
    <xf numFmtId="38" fontId="5" fillId="0" borderId="0" xfId="0" applyNumberFormat="1" applyFont="1">
      <alignment vertical="center"/>
    </xf>
    <xf numFmtId="0" fontId="5" fillId="0" borderId="0" xfId="0" applyFont="1" applyAlignment="1">
      <alignment horizontal="center" vertical="center"/>
    </xf>
    <xf numFmtId="0" fontId="5" fillId="0" borderId="0" xfId="0" applyFont="1" applyAlignment="1">
      <alignment horizontal="left" vertical="center" wrapText="1"/>
    </xf>
    <xf numFmtId="0" fontId="5" fillId="0" borderId="0" xfId="0" applyFont="1" applyAlignment="1">
      <alignment vertical="center" wrapText="1" shrinkToFit="1"/>
    </xf>
    <xf numFmtId="38" fontId="62" fillId="0" borderId="0" xfId="0" applyNumberFormat="1" applyFont="1" applyAlignment="1">
      <alignment horizontal="center" vertical="center" shrinkToFit="1"/>
    </xf>
    <xf numFmtId="0" fontId="5" fillId="0" borderId="0" xfId="0" applyFont="1" applyAlignment="1">
      <alignment vertical="center" shrinkToFit="1"/>
    </xf>
    <xf numFmtId="49" fontId="5" fillId="0" borderId="0" xfId="0" applyNumberFormat="1" applyFont="1" applyAlignment="1">
      <alignment horizontal="left" vertical="center" shrinkToFit="1"/>
    </xf>
    <xf numFmtId="38" fontId="115" fillId="0" borderId="0" xfId="0" applyNumberFormat="1" applyFont="1" applyAlignment="1">
      <alignment horizontal="center" vertical="center" shrinkToFit="1"/>
    </xf>
    <xf numFmtId="38" fontId="2" fillId="0" borderId="0" xfId="1" applyBorder="1">
      <alignment vertical="center"/>
    </xf>
    <xf numFmtId="178" fontId="5" fillId="0" borderId="0" xfId="0" applyNumberFormat="1" applyFont="1" applyAlignment="1">
      <alignment horizontal="center" vertical="center"/>
    </xf>
    <xf numFmtId="38" fontId="115" fillId="0" borderId="0" xfId="1" applyFont="1" applyAlignment="1">
      <alignment vertical="center" shrinkToFit="1"/>
    </xf>
    <xf numFmtId="0" fontId="24" fillId="0" borderId="0" xfId="0" applyFont="1" applyAlignment="1">
      <alignment vertical="center" shrinkToFit="1"/>
    </xf>
    <xf numFmtId="0" fontId="103" fillId="0" borderId="0" xfId="0" applyFont="1" applyAlignment="1">
      <alignment vertical="center" shrinkToFit="1"/>
    </xf>
    <xf numFmtId="38" fontId="117" fillId="0" borderId="0" xfId="1" applyFont="1" applyAlignment="1">
      <alignment vertical="center" shrinkToFit="1"/>
    </xf>
    <xf numFmtId="0" fontId="102" fillId="0" borderId="0" xfId="0" applyFont="1" applyAlignment="1">
      <alignment vertical="center" shrinkToFit="1"/>
    </xf>
    <xf numFmtId="0" fontId="7" fillId="0" borderId="0" xfId="0" applyFont="1" applyAlignment="1" applyProtection="1">
      <alignment horizontal="center" vertical="center"/>
    </xf>
    <xf numFmtId="0" fontId="7" fillId="0" borderId="0" xfId="0" applyFont="1" applyAlignment="1" applyProtection="1">
      <alignment horizontal="right" vertical="center"/>
    </xf>
    <xf numFmtId="0" fontId="7" fillId="0" borderId="0" xfId="0" applyFont="1" applyBorder="1" applyProtection="1">
      <alignment vertical="center"/>
    </xf>
    <xf numFmtId="0" fontId="7" fillId="0" borderId="0" xfId="0" applyFont="1" applyBorder="1" applyAlignment="1" applyProtection="1">
      <alignment vertical="distributed" justifyLastLine="1"/>
    </xf>
    <xf numFmtId="0" fontId="7" fillId="0" borderId="0" xfId="0" applyFont="1" applyBorder="1" applyAlignment="1" applyProtection="1">
      <alignment horizontal="center" vertical="distributed" justifyLastLine="1"/>
    </xf>
    <xf numFmtId="0" fontId="7" fillId="0" borderId="0" xfId="0" applyFont="1" applyBorder="1" applyAlignment="1" applyProtection="1">
      <alignment horizontal="left" vertical="distributed" justifyLastLine="1"/>
    </xf>
    <xf numFmtId="0" fontId="9" fillId="0" borderId="0" xfId="0" applyFont="1" applyAlignment="1" applyProtection="1">
      <alignment vertical="center"/>
    </xf>
    <xf numFmtId="0" fontId="7" fillId="0" borderId="4" xfId="0" applyFont="1" applyBorder="1" applyProtection="1">
      <alignment vertical="center"/>
    </xf>
    <xf numFmtId="0" fontId="9" fillId="0" borderId="0" xfId="0" applyFont="1" applyProtection="1">
      <alignment vertical="center"/>
    </xf>
    <xf numFmtId="0" fontId="7" fillId="0" borderId="111" xfId="0" applyFont="1" applyBorder="1" applyProtection="1">
      <alignment vertical="center"/>
    </xf>
    <xf numFmtId="0" fontId="7" fillId="0" borderId="112" xfId="0" applyFont="1" applyBorder="1" applyProtection="1">
      <alignment vertical="center"/>
    </xf>
    <xf numFmtId="0" fontId="7" fillId="0" borderId="0" xfId="0" applyFont="1" applyAlignment="1" applyProtection="1">
      <alignment horizontal="left" vertical="center"/>
    </xf>
    <xf numFmtId="0" fontId="7" fillId="0" borderId="115" xfId="0" applyFont="1" applyBorder="1" applyProtection="1">
      <alignment vertical="center"/>
    </xf>
    <xf numFmtId="0" fontId="7" fillId="0" borderId="0" xfId="0" applyFont="1" applyBorder="1" applyAlignment="1" applyProtection="1">
      <alignment horizontal="center" vertical="center"/>
    </xf>
    <xf numFmtId="0" fontId="7" fillId="0" borderId="46" xfId="0" applyFont="1" applyBorder="1" applyProtection="1">
      <alignment vertical="center"/>
    </xf>
    <xf numFmtId="0" fontId="7" fillId="0" borderId="110" xfId="0" applyFont="1" applyBorder="1" applyProtection="1">
      <alignment vertical="center"/>
    </xf>
    <xf numFmtId="0" fontId="7" fillId="0" borderId="110" xfId="0" applyFont="1" applyBorder="1" applyProtection="1">
      <alignment vertical="center"/>
      <protection locked="0"/>
    </xf>
    <xf numFmtId="0" fontId="7" fillId="0" borderId="0" xfId="0" applyFont="1" applyProtection="1">
      <alignment vertical="center"/>
      <protection locked="0"/>
    </xf>
    <xf numFmtId="0" fontId="7" fillId="0" borderId="117" xfId="0" applyFont="1" applyBorder="1" applyProtection="1">
      <alignment vertical="center"/>
      <protection locked="0"/>
    </xf>
    <xf numFmtId="0" fontId="7" fillId="0" borderId="13" xfId="0" applyFont="1" applyBorder="1" applyProtection="1">
      <alignment vertical="center"/>
      <protection locked="0"/>
    </xf>
    <xf numFmtId="0" fontId="7" fillId="0" borderId="119" xfId="0" applyFont="1" applyBorder="1" applyProtection="1">
      <alignment vertical="center"/>
      <protection locked="0"/>
    </xf>
    <xf numFmtId="0" fontId="7" fillId="0" borderId="13" xfId="0" applyFont="1" applyBorder="1" applyAlignment="1" applyProtection="1">
      <alignment vertical="center"/>
      <protection locked="0"/>
    </xf>
    <xf numFmtId="0" fontId="7" fillId="0" borderId="111" xfId="0" applyFont="1" applyBorder="1" applyAlignment="1" applyProtection="1">
      <alignment vertical="center"/>
      <protection locked="0"/>
    </xf>
    <xf numFmtId="0" fontId="57" fillId="0" borderId="113" xfId="0" applyFont="1" applyBorder="1" applyAlignment="1" applyProtection="1">
      <alignment horizontal="center" vertical="center"/>
      <protection locked="0"/>
    </xf>
    <xf numFmtId="0" fontId="106" fillId="0" borderId="111" xfId="0" applyFont="1" applyBorder="1" applyAlignment="1" applyProtection="1">
      <alignment horizontal="center" vertical="center"/>
      <protection locked="0"/>
    </xf>
    <xf numFmtId="0" fontId="56" fillId="0" borderId="116" xfId="0" applyFont="1" applyBorder="1" applyProtection="1">
      <alignment vertical="center"/>
      <protection locked="0"/>
    </xf>
    <xf numFmtId="0" fontId="56" fillId="0" borderId="118" xfId="0" applyFont="1" applyBorder="1" applyProtection="1">
      <alignment vertical="center"/>
      <protection locked="0"/>
    </xf>
    <xf numFmtId="0" fontId="23" fillId="0" borderId="0" xfId="0" applyFont="1" applyBorder="1" applyAlignment="1" applyProtection="1">
      <alignment horizontal="left" vertical="center"/>
    </xf>
    <xf numFmtId="0" fontId="23" fillId="0" borderId="0" xfId="0" applyFont="1" applyAlignment="1" applyProtection="1">
      <alignment horizontal="right" vertical="center"/>
    </xf>
    <xf numFmtId="0" fontId="7" fillId="0" borderId="0" xfId="0" applyFont="1" applyBorder="1" applyProtection="1">
      <alignment vertical="center"/>
      <protection locked="0"/>
    </xf>
    <xf numFmtId="0" fontId="57" fillId="0" borderId="113" xfId="0" applyFont="1" applyBorder="1" applyAlignment="1" applyProtection="1">
      <alignment horizontal="center" vertical="center" wrapText="1"/>
      <protection locked="0"/>
    </xf>
    <xf numFmtId="192" fontId="56" fillId="0" borderId="110" xfId="0" applyNumberFormat="1" applyFont="1" applyBorder="1" applyAlignment="1" applyProtection="1">
      <alignment vertical="center"/>
    </xf>
    <xf numFmtId="0" fontId="9" fillId="0" borderId="131" xfId="0" applyFont="1" applyBorder="1" applyAlignment="1" applyProtection="1">
      <alignment horizontal="center" vertical="center"/>
    </xf>
    <xf numFmtId="0" fontId="9" fillId="0" borderId="130" xfId="0" applyFont="1" applyBorder="1" applyAlignment="1" applyProtection="1">
      <alignment horizontal="center" vertical="center"/>
    </xf>
    <xf numFmtId="0" fontId="7" fillId="0" borderId="113" xfId="0" applyFont="1" applyBorder="1" applyAlignment="1" applyProtection="1">
      <alignment horizontal="center" vertical="center"/>
      <protection locked="0"/>
    </xf>
    <xf numFmtId="0" fontId="7" fillId="0" borderId="121" xfId="0" applyFont="1" applyBorder="1" applyAlignment="1" applyProtection="1">
      <alignment horizontal="center" vertical="center"/>
      <protection locked="0"/>
    </xf>
    <xf numFmtId="176" fontId="7" fillId="0" borderId="126" xfId="0" applyNumberFormat="1" applyFont="1" applyBorder="1" applyAlignment="1" applyProtection="1">
      <alignment horizontal="center" vertical="center"/>
      <protection locked="0"/>
    </xf>
    <xf numFmtId="0" fontId="23" fillId="0" borderId="131" xfId="0" applyFont="1" applyBorder="1" applyAlignment="1" applyProtection="1">
      <alignment horizontal="center" vertical="center"/>
      <protection locked="0"/>
    </xf>
    <xf numFmtId="0" fontId="23" fillId="0" borderId="128" xfId="0" applyFont="1" applyBorder="1" applyAlignment="1" applyProtection="1">
      <alignment horizontal="center" vertical="center"/>
      <protection locked="0"/>
    </xf>
    <xf numFmtId="0" fontId="7" fillId="0" borderId="116" xfId="0" applyFont="1" applyBorder="1" applyAlignment="1" applyProtection="1">
      <alignment horizontal="center" vertical="center"/>
      <protection locked="0"/>
    </xf>
    <xf numFmtId="0" fontId="7" fillId="0" borderId="110" xfId="0" applyFont="1" applyBorder="1" applyAlignment="1" applyProtection="1">
      <alignment horizontal="center" vertical="center"/>
      <protection locked="0"/>
    </xf>
    <xf numFmtId="0" fontId="7" fillId="0" borderId="137" xfId="0" applyFont="1" applyBorder="1" applyAlignment="1" applyProtection="1">
      <alignment horizontal="center" vertical="center"/>
      <protection locked="0"/>
    </xf>
    <xf numFmtId="0" fontId="120" fillId="0" borderId="118" xfId="0" applyFont="1" applyBorder="1" applyAlignment="1" applyProtection="1">
      <alignment horizontal="left" vertical="center" wrapText="1"/>
      <protection locked="0"/>
    </xf>
    <xf numFmtId="0" fontId="120" fillId="0" borderId="13" xfId="0" applyFont="1" applyBorder="1" applyAlignment="1" applyProtection="1">
      <alignment horizontal="left" vertical="center" wrapText="1"/>
      <protection locked="0"/>
    </xf>
    <xf numFmtId="0" fontId="120" fillId="0" borderId="119" xfId="0" applyFont="1" applyBorder="1" applyAlignment="1" applyProtection="1">
      <alignment horizontal="left" vertical="center" wrapText="1"/>
      <protection locked="0"/>
    </xf>
    <xf numFmtId="0" fontId="56" fillId="0" borderId="126" xfId="0" applyFont="1" applyBorder="1" applyAlignment="1" applyProtection="1">
      <alignment horizontal="center" vertical="center"/>
    </xf>
    <xf numFmtId="0" fontId="56" fillId="0" borderId="105" xfId="0" applyFont="1" applyBorder="1" applyAlignment="1" applyProtection="1">
      <alignment horizontal="center" vertical="center"/>
    </xf>
    <xf numFmtId="189" fontId="119" fillId="18" borderId="151" xfId="0" applyNumberFormat="1" applyFont="1" applyFill="1" applyBorder="1" applyAlignment="1" applyProtection="1">
      <alignment horizontal="center" vertical="center"/>
      <protection locked="0"/>
    </xf>
    <xf numFmtId="189" fontId="119" fillId="18" borderId="152" xfId="0" applyNumberFormat="1" applyFont="1" applyFill="1" applyBorder="1" applyAlignment="1" applyProtection="1">
      <alignment horizontal="center" vertical="center"/>
      <protection locked="0"/>
    </xf>
    <xf numFmtId="189" fontId="119" fillId="18" borderId="153" xfId="0" applyNumberFormat="1" applyFont="1" applyFill="1" applyBorder="1" applyAlignment="1" applyProtection="1">
      <alignment horizontal="center" vertical="center"/>
      <protection locked="0"/>
    </xf>
    <xf numFmtId="49" fontId="7" fillId="0" borderId="113" xfId="0" applyNumberFormat="1" applyFont="1" applyBorder="1" applyAlignment="1" applyProtection="1">
      <alignment horizontal="center" vertical="center"/>
      <protection locked="0"/>
    </xf>
    <xf numFmtId="49" fontId="7" fillId="0" borderId="121" xfId="0" applyNumberFormat="1" applyFont="1" applyBorder="1" applyAlignment="1" applyProtection="1">
      <alignment horizontal="center" vertical="center"/>
      <protection locked="0"/>
    </xf>
    <xf numFmtId="190" fontId="23" fillId="0" borderId="132" xfId="0" applyNumberFormat="1" applyFont="1" applyBorder="1" applyAlignment="1" applyProtection="1">
      <alignment horizontal="left" vertical="center" wrapText="1"/>
      <protection locked="0"/>
    </xf>
    <xf numFmtId="0" fontId="9" fillId="0" borderId="139" xfId="0" applyFont="1" applyBorder="1" applyAlignment="1" applyProtection="1">
      <alignment horizontal="center" vertical="center"/>
    </xf>
    <xf numFmtId="0" fontId="9" fillId="0" borderId="132" xfId="0" applyFont="1" applyBorder="1" applyAlignment="1" applyProtection="1">
      <alignment horizontal="center" vertical="center"/>
    </xf>
    <xf numFmtId="0" fontId="118" fillId="0" borderId="132" xfId="0" applyFont="1" applyBorder="1" applyAlignment="1" applyProtection="1">
      <alignment horizontal="center" vertical="center" shrinkToFit="1"/>
      <protection locked="0"/>
    </xf>
    <xf numFmtId="0" fontId="118" fillId="0" borderId="131" xfId="0" applyFont="1" applyBorder="1" applyAlignment="1" applyProtection="1">
      <alignment horizontal="center" vertical="center" shrinkToFit="1"/>
      <protection locked="0"/>
    </xf>
    <xf numFmtId="0" fontId="118" fillId="0" borderId="133" xfId="0" applyFont="1" applyBorder="1" applyAlignment="1" applyProtection="1">
      <alignment horizontal="center" vertical="center" shrinkToFit="1"/>
      <protection locked="0"/>
    </xf>
    <xf numFmtId="0" fontId="9" fillId="0" borderId="134" xfId="0" applyFont="1" applyBorder="1" applyAlignment="1" applyProtection="1">
      <alignment horizontal="center" vertical="center"/>
    </xf>
    <xf numFmtId="0" fontId="9" fillId="0" borderId="135" xfId="0" applyFont="1" applyBorder="1" applyAlignment="1" applyProtection="1">
      <alignment horizontal="center" vertical="center"/>
    </xf>
    <xf numFmtId="0" fontId="9" fillId="0" borderId="136" xfId="0" applyFont="1" applyBorder="1" applyAlignment="1" applyProtection="1">
      <alignment horizontal="center" vertical="center" wrapText="1"/>
    </xf>
    <xf numFmtId="0" fontId="9" fillId="0" borderId="126" xfId="0" applyFont="1" applyBorder="1" applyAlignment="1" applyProtection="1">
      <alignment horizontal="center" vertical="center"/>
    </xf>
    <xf numFmtId="0" fontId="9" fillId="0" borderId="136" xfId="0" applyFont="1" applyBorder="1" applyAlignment="1" applyProtection="1">
      <alignment horizontal="center" vertical="center"/>
    </xf>
    <xf numFmtId="0" fontId="7" fillId="0" borderId="116" xfId="0" applyFont="1" applyBorder="1" applyAlignment="1" applyProtection="1">
      <alignment horizontal="left" vertical="center"/>
    </xf>
    <xf numFmtId="0" fontId="7" fillId="0" borderId="110" xfId="0" applyFont="1" applyBorder="1" applyAlignment="1" applyProtection="1">
      <alignment horizontal="left" vertical="center"/>
    </xf>
    <xf numFmtId="0" fontId="7" fillId="0" borderId="137" xfId="0" applyFont="1" applyBorder="1" applyAlignment="1" applyProtection="1">
      <alignment horizontal="left" vertical="center"/>
    </xf>
    <xf numFmtId="0" fontId="7" fillId="0" borderId="118" xfId="0" applyFont="1" applyBorder="1" applyAlignment="1" applyProtection="1">
      <alignment horizontal="left" vertical="center"/>
    </xf>
    <xf numFmtId="0" fontId="7" fillId="0" borderId="13" xfId="0" applyFont="1" applyBorder="1" applyAlignment="1" applyProtection="1">
      <alignment horizontal="left" vertical="center"/>
    </xf>
    <xf numFmtId="0" fontId="7" fillId="0" borderId="119" xfId="0" applyFont="1" applyBorder="1" applyAlignment="1" applyProtection="1">
      <alignment horizontal="left" vertical="center"/>
    </xf>
    <xf numFmtId="0" fontId="7" fillId="0" borderId="138" xfId="0" applyFont="1" applyBorder="1" applyAlignment="1" applyProtection="1">
      <alignment horizontal="left" vertical="center"/>
    </xf>
    <xf numFmtId="0" fontId="7" fillId="0" borderId="0" xfId="0" applyFont="1" applyBorder="1" applyAlignment="1" applyProtection="1">
      <alignment horizontal="left" vertical="center"/>
    </xf>
    <xf numFmtId="0" fontId="7" fillId="0" borderId="117" xfId="0" applyFont="1" applyBorder="1" applyAlignment="1" applyProtection="1">
      <alignment horizontal="left" vertical="center"/>
    </xf>
    <xf numFmtId="0" fontId="7" fillId="0" borderId="126" xfId="0" applyFont="1" applyBorder="1" applyAlignment="1" applyProtection="1">
      <alignment horizontal="left" vertical="center"/>
    </xf>
    <xf numFmtId="0" fontId="7" fillId="0" borderId="0" xfId="0" applyFont="1" applyBorder="1" applyAlignment="1" applyProtection="1">
      <alignment horizontal="center" vertical="center"/>
    </xf>
    <xf numFmtId="0" fontId="7" fillId="0" borderId="0" xfId="0" applyFont="1" applyAlignment="1" applyProtection="1">
      <alignment horizontal="center" vertical="center"/>
    </xf>
    <xf numFmtId="0" fontId="4" fillId="0" borderId="0" xfId="0" applyFont="1" applyAlignment="1" applyProtection="1">
      <alignment horizontal="center" vertical="center" textRotation="255"/>
    </xf>
    <xf numFmtId="0" fontId="9" fillId="0" borderId="123" xfId="0" applyFont="1" applyBorder="1" applyAlignment="1" applyProtection="1">
      <alignment horizontal="center" vertical="center" textRotation="255" wrapText="1"/>
    </xf>
    <xf numFmtId="0" fontId="7" fillId="0" borderId="124" xfId="0" applyFont="1" applyBorder="1" applyAlignment="1" applyProtection="1">
      <alignment horizontal="center" vertical="center" wrapText="1"/>
    </xf>
    <xf numFmtId="0" fontId="7" fillId="0" borderId="125" xfId="0" applyFont="1" applyBorder="1" applyAlignment="1" applyProtection="1">
      <alignment horizontal="center" vertical="center" wrapText="1"/>
    </xf>
    <xf numFmtId="0" fontId="118" fillId="0" borderId="120" xfId="0" applyFont="1" applyBorder="1" applyAlignment="1">
      <alignment horizontal="left" vertical="center" wrapText="1"/>
    </xf>
    <xf numFmtId="0" fontId="118" fillId="0" borderId="111" xfId="0" applyFont="1" applyBorder="1" applyAlignment="1">
      <alignment horizontal="left" vertical="center" wrapText="1"/>
    </xf>
    <xf numFmtId="0" fontId="118" fillId="0" borderId="112" xfId="0" applyFont="1" applyBorder="1" applyAlignment="1">
      <alignment horizontal="left" vertical="center" wrapText="1"/>
    </xf>
    <xf numFmtId="0" fontId="7" fillId="0" borderId="122" xfId="0" applyFont="1" applyBorder="1" applyAlignment="1" applyProtection="1">
      <alignment horizontal="center" vertical="center" wrapText="1"/>
    </xf>
    <xf numFmtId="0" fontId="7" fillId="0" borderId="121" xfId="0" applyFont="1" applyBorder="1" applyAlignment="1" applyProtection="1">
      <alignment horizontal="center" vertical="center" wrapText="1"/>
    </xf>
    <xf numFmtId="0" fontId="7" fillId="0" borderId="122" xfId="0" applyFont="1" applyBorder="1" applyAlignment="1" applyProtection="1">
      <alignment horizontal="left" vertical="center" wrapText="1"/>
    </xf>
    <xf numFmtId="0" fontId="7" fillId="0" borderId="113" xfId="0" applyFont="1" applyBorder="1" applyAlignment="1" applyProtection="1">
      <alignment horizontal="left" vertical="center" wrapText="1"/>
    </xf>
    <xf numFmtId="0" fontId="7" fillId="0" borderId="114" xfId="0" applyFont="1" applyBorder="1" applyAlignment="1" applyProtection="1">
      <alignment horizontal="left" vertical="center" wrapText="1"/>
    </xf>
    <xf numFmtId="189" fontId="106" fillId="0" borderId="120" xfId="0" applyNumberFormat="1" applyFont="1" applyBorder="1" applyAlignment="1" applyProtection="1">
      <alignment horizontal="center" vertical="center" shrinkToFit="1"/>
      <protection locked="0"/>
    </xf>
    <xf numFmtId="189" fontId="106" fillId="0" borderId="111" xfId="0" applyNumberFormat="1" applyFont="1" applyBorder="1" applyAlignment="1" applyProtection="1">
      <alignment horizontal="center" vertical="center" shrinkToFit="1"/>
      <protection locked="0"/>
    </xf>
    <xf numFmtId="189" fontId="106" fillId="0" borderId="125" xfId="0" applyNumberFormat="1" applyFont="1" applyBorder="1" applyAlignment="1" applyProtection="1">
      <alignment horizontal="center" vertical="center" shrinkToFit="1"/>
      <protection locked="0"/>
    </xf>
    <xf numFmtId="0" fontId="7" fillId="0" borderId="122" xfId="0" applyFont="1" applyBorder="1" applyAlignment="1" applyProtection="1">
      <alignment horizontal="center" vertical="center"/>
    </xf>
    <xf numFmtId="0" fontId="7" fillId="0" borderId="121" xfId="0" applyFont="1" applyBorder="1" applyAlignment="1" applyProtection="1">
      <alignment horizontal="center" vertical="center"/>
    </xf>
    <xf numFmtId="190" fontId="118" fillId="0" borderId="105" xfId="0" applyNumberFormat="1" applyFont="1" applyBorder="1" applyAlignment="1" applyProtection="1">
      <alignment horizontal="left" vertical="center"/>
      <protection locked="0"/>
    </xf>
    <xf numFmtId="190" fontId="118" fillId="0" borderId="113" xfId="0" applyNumberFormat="1" applyFont="1" applyBorder="1" applyAlignment="1" applyProtection="1">
      <alignment horizontal="left" vertical="center"/>
      <protection locked="0"/>
    </xf>
    <xf numFmtId="190" fontId="118" fillId="0" borderId="114" xfId="0" applyNumberFormat="1" applyFont="1" applyBorder="1" applyAlignment="1" applyProtection="1">
      <alignment horizontal="left" vertical="center"/>
      <protection locked="0"/>
    </xf>
    <xf numFmtId="191" fontId="106" fillId="0" borderId="105" xfId="0" applyNumberFormat="1" applyFont="1" applyBorder="1" applyAlignment="1" applyProtection="1">
      <alignment horizontal="center" vertical="center"/>
      <protection locked="0"/>
    </xf>
    <xf numFmtId="191" fontId="106" fillId="0" borderId="113" xfId="0" applyNumberFormat="1" applyFont="1" applyBorder="1" applyAlignment="1" applyProtection="1">
      <alignment horizontal="center" vertical="center"/>
      <protection locked="0"/>
    </xf>
    <xf numFmtId="191" fontId="106" fillId="0" borderId="121" xfId="0" applyNumberFormat="1" applyFont="1" applyBorder="1" applyAlignment="1" applyProtection="1">
      <alignment horizontal="center" vertical="center"/>
      <protection locked="0"/>
    </xf>
    <xf numFmtId="0" fontId="23" fillId="0" borderId="105" xfId="0" applyFont="1" applyBorder="1" applyAlignment="1">
      <alignment horizontal="left" vertical="center" wrapText="1"/>
    </xf>
    <xf numFmtId="0" fontId="23" fillId="0" borderId="113" xfId="0" applyFont="1" applyBorder="1" applyAlignment="1">
      <alignment horizontal="left" vertical="center" wrapText="1"/>
    </xf>
    <xf numFmtId="0" fontId="23" fillId="0" borderId="114" xfId="0" applyFont="1" applyBorder="1" applyAlignment="1">
      <alignment horizontal="left" vertical="center" wrapText="1"/>
    </xf>
    <xf numFmtId="192" fontId="56" fillId="0" borderId="116" xfId="0" applyNumberFormat="1" applyFont="1" applyBorder="1" applyAlignment="1" applyProtection="1">
      <alignment horizontal="center" vertical="center"/>
      <protection locked="0"/>
    </xf>
    <xf numFmtId="192" fontId="56" fillId="0" borderId="110" xfId="0" applyNumberFormat="1" applyFont="1" applyBorder="1" applyAlignment="1" applyProtection="1">
      <alignment horizontal="center" vertical="center"/>
      <protection locked="0"/>
    </xf>
    <xf numFmtId="0" fontId="56" fillId="0" borderId="0" xfId="0" applyFont="1" applyBorder="1" applyAlignment="1" applyProtection="1">
      <alignment horizontal="center" vertical="center"/>
    </xf>
    <xf numFmtId="0" fontId="106" fillId="0" borderId="111" xfId="0" applyFont="1" applyBorder="1" applyAlignment="1" applyProtection="1">
      <alignment horizontal="center" vertical="center"/>
      <protection locked="0"/>
    </xf>
    <xf numFmtId="0" fontId="118" fillId="0" borderId="105" xfId="0" applyFont="1" applyBorder="1" applyAlignment="1" applyProtection="1">
      <alignment horizontal="center" vertical="center" shrinkToFit="1"/>
      <protection locked="0"/>
    </xf>
    <xf numFmtId="0" fontId="118" fillId="0" borderId="113" xfId="0" applyFont="1" applyBorder="1" applyAlignment="1" applyProtection="1">
      <alignment horizontal="center" vertical="center" shrinkToFit="1"/>
      <protection locked="0"/>
    </xf>
    <xf numFmtId="0" fontId="118" fillId="0" borderId="121" xfId="0" applyFont="1" applyBorder="1" applyAlignment="1" applyProtection="1">
      <alignment horizontal="center" vertical="center" shrinkToFit="1"/>
      <protection locked="0"/>
    </xf>
    <xf numFmtId="0" fontId="7" fillId="0" borderId="126" xfId="0" applyFont="1" applyBorder="1" applyAlignment="1" applyProtection="1">
      <alignment horizontal="center" vertical="center"/>
    </xf>
    <xf numFmtId="0" fontId="118" fillId="0" borderId="126" xfId="0" applyFont="1" applyBorder="1" applyAlignment="1" applyProtection="1">
      <alignment horizontal="center" vertical="center" shrinkToFit="1"/>
      <protection locked="0"/>
    </xf>
    <xf numFmtId="0" fontId="118" fillId="0" borderId="127" xfId="0" applyFont="1" applyBorder="1" applyAlignment="1" applyProtection="1">
      <alignment horizontal="center" vertical="center" shrinkToFit="1"/>
      <protection locked="0"/>
    </xf>
    <xf numFmtId="190" fontId="7" fillId="0" borderId="105" xfId="0" applyNumberFormat="1" applyFont="1" applyBorder="1" applyAlignment="1" applyProtection="1">
      <alignment horizontal="left" vertical="center"/>
      <protection locked="0"/>
    </xf>
    <xf numFmtId="190" fontId="7" fillId="0" borderId="113" xfId="0" applyNumberFormat="1" applyFont="1" applyBorder="1" applyAlignment="1" applyProtection="1">
      <alignment horizontal="left" vertical="center"/>
      <protection locked="0"/>
    </xf>
    <xf numFmtId="190" fontId="7" fillId="0" borderId="114" xfId="0" applyNumberFormat="1" applyFont="1" applyBorder="1" applyAlignment="1" applyProtection="1">
      <alignment horizontal="left" vertical="center"/>
      <protection locked="0"/>
    </xf>
    <xf numFmtId="0" fontId="7" fillId="0" borderId="128" xfId="0" applyFont="1" applyBorder="1" applyAlignment="1" applyProtection="1">
      <alignment horizontal="left" vertical="center"/>
    </xf>
    <xf numFmtId="0" fontId="7" fillId="0" borderId="129" xfId="0" applyFont="1" applyBorder="1" applyAlignment="1" applyProtection="1">
      <alignment horizontal="center" vertical="center"/>
    </xf>
    <xf numFmtId="0" fontId="7" fillId="0" borderId="130" xfId="0" applyFont="1" applyBorder="1" applyAlignment="1" applyProtection="1">
      <alignment horizontal="center" vertical="center"/>
    </xf>
    <xf numFmtId="0" fontId="56" fillId="0" borderId="131" xfId="0" applyFont="1" applyBorder="1" applyAlignment="1" applyProtection="1">
      <alignment horizontal="center" vertical="center" wrapText="1"/>
      <protection locked="0"/>
    </xf>
    <xf numFmtId="0" fontId="56" fillId="0" borderId="128" xfId="0" applyFont="1" applyBorder="1" applyAlignment="1" applyProtection="1">
      <alignment horizontal="center" vertical="center" wrapText="1"/>
      <protection locked="0"/>
    </xf>
    <xf numFmtId="0" fontId="56" fillId="0" borderId="130" xfId="0" applyFont="1" applyBorder="1" applyAlignment="1" applyProtection="1">
      <alignment horizontal="center" vertical="center" wrapText="1"/>
      <protection locked="0"/>
    </xf>
    <xf numFmtId="0" fontId="7" fillId="0" borderId="132" xfId="0" applyFont="1" applyBorder="1" applyAlignment="1" applyProtection="1">
      <alignment horizontal="center" vertical="center"/>
    </xf>
    <xf numFmtId="22" fontId="62" fillId="6" borderId="0" xfId="1" applyNumberFormat="1" applyFont="1" applyFill="1" applyAlignment="1">
      <alignment horizontal="center" vertical="center"/>
    </xf>
    <xf numFmtId="0" fontId="5" fillId="2" borderId="8" xfId="0" applyFont="1" applyFill="1" applyBorder="1" applyAlignment="1">
      <alignment horizontal="center" vertical="center" shrinkToFit="1"/>
    </xf>
    <xf numFmtId="0" fontId="5" fillId="2" borderId="140" xfId="0" applyFont="1" applyFill="1" applyBorder="1" applyAlignment="1">
      <alignment horizontal="center" vertical="center" shrinkToFit="1"/>
    </xf>
    <xf numFmtId="176" fontId="5" fillId="2" borderId="1" xfId="0" applyNumberFormat="1" applyFont="1" applyFill="1" applyBorder="1" applyAlignment="1">
      <alignment horizontal="center" vertical="center" shrinkToFit="1"/>
    </xf>
    <xf numFmtId="176" fontId="5" fillId="2" borderId="4" xfId="0" applyNumberFormat="1" applyFont="1" applyFill="1" applyBorder="1" applyAlignment="1">
      <alignment horizontal="center" vertical="center" shrinkToFit="1"/>
    </xf>
    <xf numFmtId="176" fontId="5" fillId="2" borderId="140" xfId="0" applyNumberFormat="1" applyFont="1" applyFill="1" applyBorder="1" applyAlignment="1">
      <alignment horizontal="center" vertical="center" shrinkToFit="1"/>
    </xf>
    <xf numFmtId="38" fontId="6" fillId="0" borderId="26" xfId="1" applyFont="1" applyBorder="1" applyAlignment="1">
      <alignment horizontal="left" vertical="center"/>
    </xf>
    <xf numFmtId="38" fontId="6" fillId="0" borderId="26" xfId="1" applyFont="1" applyBorder="1" applyAlignment="1">
      <alignment horizontal="center" vertical="center"/>
    </xf>
  </cellXfs>
  <cellStyles count="5">
    <cellStyle name="桁区切り 2 2" xfId="1" xr:uid="{00000000-0005-0000-0000-000000000000}"/>
    <cellStyle name="標準" xfId="0" builtinId="0"/>
    <cellStyle name="標準 2" xfId="2" xr:uid="{00000000-0005-0000-0000-000002000000}"/>
    <cellStyle name="標準 2 2 2" xfId="3" xr:uid="{00000000-0005-0000-0000-000003000000}"/>
    <cellStyle name="標準 3" xfId="4" xr:uid="{4B17DE16-57A4-4E0B-ADE0-0C4852FA9D80}"/>
  </cellStyles>
  <dxfs count="78">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ill>
        <patternFill>
          <bgColor theme="4" tint="0.79998168889431442"/>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4" tint="0.79998168889431442"/>
        </patternFill>
      </fill>
    </dxf>
    <dxf>
      <fill>
        <patternFill>
          <bgColor theme="9"/>
        </patternFill>
      </fill>
    </dxf>
    <dxf>
      <fill>
        <patternFill>
          <bgColor theme="4" tint="0.79998168889431442"/>
        </patternFill>
      </fill>
    </dxf>
    <dxf>
      <fill>
        <patternFill>
          <bgColor theme="4" tint="0.79998168889431442"/>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ont>
        <color theme="0"/>
      </font>
      <fill>
        <patternFill>
          <bgColor theme="0"/>
        </patternFill>
      </fill>
    </dxf>
    <dxf>
      <font>
        <color theme="1" tint="0.499984740745262"/>
      </font>
      <fill>
        <patternFill>
          <bgColor theme="1" tint="0.499984740745262"/>
        </patternFill>
      </fill>
    </dxf>
    <dxf>
      <font>
        <color theme="1" tint="0.499984740745262"/>
      </font>
      <fill>
        <patternFill>
          <bgColor theme="1" tint="0.499984740745262"/>
        </patternFill>
      </fill>
    </dxf>
    <dxf>
      <fill>
        <patternFill>
          <bgColor theme="1" tint="0.499984740745262"/>
        </patternFill>
      </fill>
    </dxf>
    <dxf>
      <font>
        <color theme="1" tint="0.499984740745262"/>
      </font>
      <fill>
        <patternFill>
          <bgColor theme="1" tint="0.499984740745262"/>
        </patternFill>
      </fill>
    </dxf>
    <dxf>
      <fill>
        <patternFill>
          <bgColor theme="1" tint="0.499984740745262"/>
        </patternFill>
      </fill>
    </dxf>
    <dxf>
      <fill>
        <patternFill>
          <bgColor theme="1" tint="0.499984740745262"/>
        </patternFill>
      </fill>
    </dxf>
    <dxf>
      <font>
        <color theme="0"/>
      </font>
    </dxf>
    <dxf>
      <font>
        <color theme="1" tint="0.499984740745262"/>
      </font>
      <fill>
        <patternFill patternType="solid">
          <fgColor indexed="64"/>
          <bgColor theme="1" tint="0.499984740745262"/>
        </patternFill>
      </fill>
    </dxf>
    <dxf>
      <font>
        <color theme="1" tint="0.499984740745262"/>
      </font>
      <fill>
        <patternFill>
          <bgColor theme="1" tint="0.499984740745262"/>
        </patternFill>
      </fill>
    </dxf>
    <dxf>
      <fill>
        <patternFill>
          <bgColor rgb="FFFFFFCC"/>
        </patternFill>
      </fill>
    </dxf>
    <dxf>
      <fill>
        <patternFill>
          <bgColor rgb="FFFFFFCC"/>
        </patternFill>
      </fill>
    </dxf>
    <dxf>
      <font>
        <color theme="1" tint="0.499984740745262"/>
      </font>
      <fill>
        <patternFill>
          <bgColor theme="1" tint="0.499984740745262"/>
        </patternFill>
      </fill>
    </dxf>
    <dxf>
      <font>
        <color auto="1"/>
      </font>
      <fill>
        <patternFill>
          <bgColor theme="1" tint="0.499984740745262"/>
        </patternFill>
      </fill>
    </dxf>
    <dxf>
      <font>
        <color auto="1"/>
      </font>
    </dxf>
    <dxf>
      <font>
        <b/>
        <i val="0"/>
        <color auto="1"/>
      </font>
      <fill>
        <patternFill patternType="none">
          <bgColor auto="1"/>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304800</xdr:colOff>
      <xdr:row>9</xdr:row>
      <xdr:rowOff>85725</xdr:rowOff>
    </xdr:from>
    <xdr:to>
      <xdr:col>1</xdr:col>
      <xdr:colOff>66675</xdr:colOff>
      <xdr:row>9</xdr:row>
      <xdr:rowOff>133355</xdr:rowOff>
    </xdr:to>
    <xdr:cxnSp macro="">
      <xdr:nvCxnSpPr>
        <xdr:cNvPr id="2" name="直線コネクタ 1">
          <a:extLst>
            <a:ext uri="{FF2B5EF4-FFF2-40B4-BE49-F238E27FC236}">
              <a16:creationId xmlns:a16="http://schemas.microsoft.com/office/drawing/2014/main" id="{D9E31F30-F888-4EDC-90EE-9F22E53206F7}"/>
            </a:ext>
          </a:extLst>
        </xdr:cNvPr>
        <xdr:cNvCxnSpPr/>
      </xdr:nvCxnSpPr>
      <xdr:spPr>
        <a:xfrm flipV="1">
          <a:off x="304800" y="1514475"/>
          <a:ext cx="85725" cy="4763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317501</xdr:colOff>
      <xdr:row>13</xdr:row>
      <xdr:rowOff>492613</xdr:rowOff>
    </xdr:from>
    <xdr:to>
      <xdr:col>1</xdr:col>
      <xdr:colOff>61057</xdr:colOff>
      <xdr:row>13</xdr:row>
      <xdr:rowOff>659423</xdr:rowOff>
    </xdr:to>
    <xdr:cxnSp macro="">
      <xdr:nvCxnSpPr>
        <xdr:cNvPr id="3" name="直線コネクタ 2">
          <a:extLst>
            <a:ext uri="{FF2B5EF4-FFF2-40B4-BE49-F238E27FC236}">
              <a16:creationId xmlns:a16="http://schemas.microsoft.com/office/drawing/2014/main" id="{0CB8983D-9A6F-4C18-B180-D361DFBDEB73}"/>
            </a:ext>
          </a:extLst>
        </xdr:cNvPr>
        <xdr:cNvCxnSpPr/>
      </xdr:nvCxnSpPr>
      <xdr:spPr>
        <a:xfrm>
          <a:off x="317501" y="3777517"/>
          <a:ext cx="73268" cy="16681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314325</xdr:colOff>
      <xdr:row>9</xdr:row>
      <xdr:rowOff>123825</xdr:rowOff>
    </xdr:from>
    <xdr:to>
      <xdr:col>0</xdr:col>
      <xdr:colOff>314325</xdr:colOff>
      <xdr:row>13</xdr:row>
      <xdr:rowOff>504825</xdr:rowOff>
    </xdr:to>
    <xdr:cxnSp macro="">
      <xdr:nvCxnSpPr>
        <xdr:cNvPr id="4" name="直線コネクタ 3">
          <a:extLst>
            <a:ext uri="{FF2B5EF4-FFF2-40B4-BE49-F238E27FC236}">
              <a16:creationId xmlns:a16="http://schemas.microsoft.com/office/drawing/2014/main" id="{C7F08484-6B2A-4E74-8A6D-92A394394246}"/>
            </a:ext>
          </a:extLst>
        </xdr:cNvPr>
        <xdr:cNvCxnSpPr/>
      </xdr:nvCxnSpPr>
      <xdr:spPr>
        <a:xfrm>
          <a:off x="314325" y="1552575"/>
          <a:ext cx="0" cy="2238375"/>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49</xdr:col>
      <xdr:colOff>657225</xdr:colOff>
      <xdr:row>20</xdr:row>
      <xdr:rowOff>238125</xdr:rowOff>
    </xdr:from>
    <xdr:to>
      <xdr:col>50</xdr:col>
      <xdr:colOff>38100</xdr:colOff>
      <xdr:row>20</xdr:row>
      <xdr:rowOff>333375</xdr:rowOff>
    </xdr:to>
    <xdr:sp macro="" textlink="">
      <xdr:nvSpPr>
        <xdr:cNvPr id="2" name="AutoShape 1">
          <a:extLst>
            <a:ext uri="{FF2B5EF4-FFF2-40B4-BE49-F238E27FC236}">
              <a16:creationId xmlns:a16="http://schemas.microsoft.com/office/drawing/2014/main" id="{9CDE14F2-E33D-48CE-BEB8-6C5F80059CFF}"/>
            </a:ext>
          </a:extLst>
        </xdr:cNvPr>
        <xdr:cNvSpPr>
          <a:spLocks/>
        </xdr:cNvSpPr>
      </xdr:nvSpPr>
      <xdr:spPr bwMode="auto">
        <a:xfrm rot="20684693" flipH="1">
          <a:off x="29165550" y="6286500"/>
          <a:ext cx="66675" cy="85725"/>
        </a:xfrm>
        <a:prstGeom prst="rightBrace">
          <a:avLst>
            <a:gd name="adj1" fmla="val 11905"/>
            <a:gd name="adj2" fmla="val 50000"/>
          </a:avLst>
        </a:prstGeom>
        <a:noFill/>
        <a:ln w="9525">
          <a:solidFill>
            <a:srgbClr val="000000"/>
          </a:solidFill>
          <a:round/>
          <a:headEnd/>
          <a:tailEnd/>
        </a:ln>
      </xdr:spPr>
    </xdr:sp>
    <xdr:clientData/>
  </xdr:twoCellAnchor>
  <xdr:oneCellAnchor>
    <xdr:from>
      <xdr:col>20</xdr:col>
      <xdr:colOff>85725</xdr:colOff>
      <xdr:row>320</xdr:row>
      <xdr:rowOff>0</xdr:rowOff>
    </xdr:from>
    <xdr:ext cx="104775" cy="215370"/>
    <xdr:sp macro="" textlink="">
      <xdr:nvSpPr>
        <xdr:cNvPr id="3" name="Text Box 3">
          <a:extLst>
            <a:ext uri="{FF2B5EF4-FFF2-40B4-BE49-F238E27FC236}">
              <a16:creationId xmlns:a16="http://schemas.microsoft.com/office/drawing/2014/main" id="{CE6DCD84-8E85-415E-BE45-994A7C1A4C10}"/>
            </a:ext>
          </a:extLst>
        </xdr:cNvPr>
        <xdr:cNvSpPr txBox="1">
          <a:spLocks noChangeArrowheads="1"/>
        </xdr:cNvSpPr>
      </xdr:nvSpPr>
      <xdr:spPr bwMode="auto">
        <a:xfrm>
          <a:off x="11896725" y="93964125"/>
          <a:ext cx="104775" cy="215370"/>
        </a:xfrm>
        <a:prstGeom prst="rect">
          <a:avLst/>
        </a:prstGeom>
        <a:noFill/>
        <a:ln w="9525">
          <a:noFill/>
          <a:miter lim="800000"/>
          <a:headEnd/>
          <a:tailEnd/>
        </a:ln>
      </xdr:spPr>
    </xdr:sp>
    <xdr:clientData/>
  </xdr:oneCellAnchor>
  <xdr:twoCellAnchor>
    <xdr:from>
      <xdr:col>37</xdr:col>
      <xdr:colOff>180975</xdr:colOff>
      <xdr:row>22</xdr:row>
      <xdr:rowOff>0</xdr:rowOff>
    </xdr:from>
    <xdr:to>
      <xdr:col>37</xdr:col>
      <xdr:colOff>485775</xdr:colOff>
      <xdr:row>22</xdr:row>
      <xdr:rowOff>0</xdr:rowOff>
    </xdr:to>
    <xdr:sp macro="" textlink="">
      <xdr:nvSpPr>
        <xdr:cNvPr id="4" name="Text Box 12">
          <a:extLst>
            <a:ext uri="{FF2B5EF4-FFF2-40B4-BE49-F238E27FC236}">
              <a16:creationId xmlns:a16="http://schemas.microsoft.com/office/drawing/2014/main" id="{F45C3DD3-80A2-4CC9-AE6C-07F6B88E971D}"/>
            </a:ext>
          </a:extLst>
        </xdr:cNvPr>
        <xdr:cNvSpPr txBox="1">
          <a:spLocks noChangeArrowheads="1"/>
        </xdr:cNvSpPr>
      </xdr:nvSpPr>
      <xdr:spPr bwMode="auto">
        <a:xfrm>
          <a:off x="19583400" y="6696075"/>
          <a:ext cx="304800" cy="0"/>
        </a:xfrm>
        <a:prstGeom prst="rect">
          <a:avLst/>
        </a:prstGeom>
        <a:noFill/>
        <a:ln>
          <a:noFill/>
        </a:ln>
      </xdr:spPr>
      <xdr:txBody>
        <a:bodyPr vertOverflow="clip" wrap="square" lIns="27432" tIns="18288" rIns="27432" bIns="0" anchor="t" upright="1"/>
        <a:lstStyle/>
        <a:p>
          <a:pPr algn="ctr" rtl="0">
            <a:defRPr sz="1000"/>
          </a:pPr>
          <a:r>
            <a:rPr lang="ja-JP" altLang="en-US" sz="1200" b="0" i="0" u="none" strike="noStrike" baseline="0">
              <a:solidFill>
                <a:srgbClr val="FFFFFF"/>
              </a:solidFill>
              <a:latin typeface="ＭＳ Ｐゴシック"/>
              <a:ea typeface="ＭＳ Ｐゴシック"/>
            </a:rPr>
            <a:t>❶</a:t>
          </a:r>
        </a:p>
      </xdr:txBody>
    </xdr:sp>
    <xdr:clientData/>
  </xdr:twoCellAnchor>
  <xdr:twoCellAnchor>
    <xdr:from>
      <xdr:col>37</xdr:col>
      <xdr:colOff>0</xdr:colOff>
      <xdr:row>22</xdr:row>
      <xdr:rowOff>0</xdr:rowOff>
    </xdr:from>
    <xdr:to>
      <xdr:col>37</xdr:col>
      <xdr:colOff>9525</xdr:colOff>
      <xdr:row>22</xdr:row>
      <xdr:rowOff>0</xdr:rowOff>
    </xdr:to>
    <xdr:sp macro="" textlink="">
      <xdr:nvSpPr>
        <xdr:cNvPr id="5" name="AutoShape 16">
          <a:extLst>
            <a:ext uri="{FF2B5EF4-FFF2-40B4-BE49-F238E27FC236}">
              <a16:creationId xmlns:a16="http://schemas.microsoft.com/office/drawing/2014/main" id="{703E708C-9EC0-44F8-AB56-12DD6BF5A41C}"/>
            </a:ext>
          </a:extLst>
        </xdr:cNvPr>
        <xdr:cNvSpPr>
          <a:spLocks/>
        </xdr:cNvSpPr>
      </xdr:nvSpPr>
      <xdr:spPr bwMode="auto">
        <a:xfrm>
          <a:off x="19402425" y="6696075"/>
          <a:ext cx="9525"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37</xdr:col>
      <xdr:colOff>0</xdr:colOff>
      <xdr:row>22</xdr:row>
      <xdr:rowOff>0</xdr:rowOff>
    </xdr:from>
    <xdr:to>
      <xdr:col>37</xdr:col>
      <xdr:colOff>9525</xdr:colOff>
      <xdr:row>22</xdr:row>
      <xdr:rowOff>0</xdr:rowOff>
    </xdr:to>
    <xdr:sp macro="" textlink="">
      <xdr:nvSpPr>
        <xdr:cNvPr id="6" name="AutoShape 17">
          <a:extLst>
            <a:ext uri="{FF2B5EF4-FFF2-40B4-BE49-F238E27FC236}">
              <a16:creationId xmlns:a16="http://schemas.microsoft.com/office/drawing/2014/main" id="{27FD6B45-397C-47AD-8095-7D5D474EF8DE}"/>
            </a:ext>
          </a:extLst>
        </xdr:cNvPr>
        <xdr:cNvSpPr>
          <a:spLocks/>
        </xdr:cNvSpPr>
      </xdr:nvSpPr>
      <xdr:spPr bwMode="auto">
        <a:xfrm>
          <a:off x="19402425" y="6696075"/>
          <a:ext cx="9525" cy="0"/>
        </a:xfrm>
        <a:prstGeom prst="rightBrace">
          <a:avLst>
            <a:gd name="adj1" fmla="val -2147483648"/>
            <a:gd name="adj2" fmla="val 50000"/>
          </a:avLst>
        </a:prstGeom>
        <a:noFill/>
        <a:ln w="9525">
          <a:solidFill>
            <a:srgbClr val="000000"/>
          </a:solidFill>
          <a:round/>
          <a:headEnd/>
          <a:tailEnd/>
        </a:ln>
      </xdr:spPr>
    </xdr:sp>
    <xdr:clientData/>
  </xdr:twoCellAnchor>
  <xdr:oneCellAnchor>
    <xdr:from>
      <xdr:col>20</xdr:col>
      <xdr:colOff>85725</xdr:colOff>
      <xdr:row>272</xdr:row>
      <xdr:rowOff>0</xdr:rowOff>
    </xdr:from>
    <xdr:ext cx="104775" cy="228600"/>
    <xdr:sp macro="" textlink="">
      <xdr:nvSpPr>
        <xdr:cNvPr id="7" name="Text Box 19">
          <a:extLst>
            <a:ext uri="{FF2B5EF4-FFF2-40B4-BE49-F238E27FC236}">
              <a16:creationId xmlns:a16="http://schemas.microsoft.com/office/drawing/2014/main" id="{138264DC-F77C-4FFD-8270-7DC07B3F2CD1}"/>
            </a:ext>
          </a:extLst>
        </xdr:cNvPr>
        <xdr:cNvSpPr txBox="1">
          <a:spLocks noChangeArrowheads="1"/>
        </xdr:cNvSpPr>
      </xdr:nvSpPr>
      <xdr:spPr bwMode="auto">
        <a:xfrm>
          <a:off x="11896725" y="83924775"/>
          <a:ext cx="104775" cy="228600"/>
        </a:xfrm>
        <a:prstGeom prst="rect">
          <a:avLst/>
        </a:prstGeom>
        <a:noFill/>
        <a:ln w="9525">
          <a:noFill/>
          <a:miter lim="800000"/>
          <a:headEnd/>
          <a:tailEnd/>
        </a:ln>
      </xdr:spPr>
    </xdr:sp>
    <xdr:clientData/>
  </xdr:oneCellAnchor>
  <xdr:oneCellAnchor>
    <xdr:from>
      <xdr:col>20</xdr:col>
      <xdr:colOff>85725</xdr:colOff>
      <xdr:row>332</xdr:row>
      <xdr:rowOff>0</xdr:rowOff>
    </xdr:from>
    <xdr:ext cx="104775" cy="228600"/>
    <xdr:sp macro="" textlink="">
      <xdr:nvSpPr>
        <xdr:cNvPr id="8" name="Text Box 20">
          <a:extLst>
            <a:ext uri="{FF2B5EF4-FFF2-40B4-BE49-F238E27FC236}">
              <a16:creationId xmlns:a16="http://schemas.microsoft.com/office/drawing/2014/main" id="{F4FE43BC-2C55-483B-AB33-87D602B0046B}"/>
            </a:ext>
          </a:extLst>
        </xdr:cNvPr>
        <xdr:cNvSpPr txBox="1">
          <a:spLocks noChangeArrowheads="1"/>
        </xdr:cNvSpPr>
      </xdr:nvSpPr>
      <xdr:spPr bwMode="auto">
        <a:xfrm>
          <a:off x="11896725" y="98021775"/>
          <a:ext cx="104775" cy="228600"/>
        </a:xfrm>
        <a:prstGeom prst="rect">
          <a:avLst/>
        </a:prstGeom>
        <a:noFill/>
        <a:ln w="9525">
          <a:noFill/>
          <a:miter lim="800000"/>
          <a:headEnd/>
          <a:tailEnd/>
        </a:ln>
      </xdr:spPr>
    </xdr:sp>
    <xdr:clientData/>
  </xdr:oneCellAnchor>
  <xdr:oneCellAnchor>
    <xdr:from>
      <xdr:col>20</xdr:col>
      <xdr:colOff>85725</xdr:colOff>
      <xdr:row>320</xdr:row>
      <xdr:rowOff>0</xdr:rowOff>
    </xdr:from>
    <xdr:ext cx="104775" cy="215370"/>
    <xdr:sp macro="" textlink="">
      <xdr:nvSpPr>
        <xdr:cNvPr id="9" name="Text Box 21">
          <a:extLst>
            <a:ext uri="{FF2B5EF4-FFF2-40B4-BE49-F238E27FC236}">
              <a16:creationId xmlns:a16="http://schemas.microsoft.com/office/drawing/2014/main" id="{C7AE1DBD-14F5-4C20-BB6E-EDC4F16C647A}"/>
            </a:ext>
          </a:extLst>
        </xdr:cNvPr>
        <xdr:cNvSpPr txBox="1">
          <a:spLocks noChangeArrowheads="1"/>
        </xdr:cNvSpPr>
      </xdr:nvSpPr>
      <xdr:spPr bwMode="auto">
        <a:xfrm>
          <a:off x="11896725" y="93964125"/>
          <a:ext cx="104775" cy="215370"/>
        </a:xfrm>
        <a:prstGeom prst="rect">
          <a:avLst/>
        </a:prstGeom>
        <a:noFill/>
        <a:ln w="9525">
          <a:noFill/>
          <a:miter lim="800000"/>
          <a:headEnd/>
          <a:tailEnd/>
        </a:ln>
      </xdr:spPr>
    </xdr:sp>
    <xdr:clientData/>
  </xdr:oneCellAnchor>
  <xdr:oneCellAnchor>
    <xdr:from>
      <xdr:col>20</xdr:col>
      <xdr:colOff>85725</xdr:colOff>
      <xdr:row>318</xdr:row>
      <xdr:rowOff>0</xdr:rowOff>
    </xdr:from>
    <xdr:ext cx="104775" cy="224897"/>
    <xdr:sp macro="" textlink="">
      <xdr:nvSpPr>
        <xdr:cNvPr id="10" name="Text Box 24">
          <a:extLst>
            <a:ext uri="{FF2B5EF4-FFF2-40B4-BE49-F238E27FC236}">
              <a16:creationId xmlns:a16="http://schemas.microsoft.com/office/drawing/2014/main" id="{E0A76D27-DEFB-47D4-BA53-12DD6B4F8320}"/>
            </a:ext>
          </a:extLst>
        </xdr:cNvPr>
        <xdr:cNvSpPr txBox="1">
          <a:spLocks noChangeArrowheads="1"/>
        </xdr:cNvSpPr>
      </xdr:nvSpPr>
      <xdr:spPr bwMode="auto">
        <a:xfrm>
          <a:off x="11896725" y="93754575"/>
          <a:ext cx="104775" cy="224897"/>
        </a:xfrm>
        <a:prstGeom prst="rect">
          <a:avLst/>
        </a:prstGeom>
        <a:noFill/>
        <a:ln w="9525">
          <a:noFill/>
          <a:miter lim="800000"/>
          <a:headEnd/>
          <a:tailEnd/>
        </a:ln>
      </xdr:spPr>
    </xdr:sp>
    <xdr:clientData/>
  </xdr:oneCellAnchor>
  <xdr:oneCellAnchor>
    <xdr:from>
      <xdr:col>20</xdr:col>
      <xdr:colOff>85725</xdr:colOff>
      <xdr:row>318</xdr:row>
      <xdr:rowOff>0</xdr:rowOff>
    </xdr:from>
    <xdr:ext cx="104775" cy="224897"/>
    <xdr:sp macro="" textlink="">
      <xdr:nvSpPr>
        <xdr:cNvPr id="11" name="Text Box 25">
          <a:extLst>
            <a:ext uri="{FF2B5EF4-FFF2-40B4-BE49-F238E27FC236}">
              <a16:creationId xmlns:a16="http://schemas.microsoft.com/office/drawing/2014/main" id="{967CAFFC-C7F9-4C8A-88B9-E92E6D8009DF}"/>
            </a:ext>
          </a:extLst>
        </xdr:cNvPr>
        <xdr:cNvSpPr txBox="1">
          <a:spLocks noChangeArrowheads="1"/>
        </xdr:cNvSpPr>
      </xdr:nvSpPr>
      <xdr:spPr bwMode="auto">
        <a:xfrm>
          <a:off x="11896725" y="93754575"/>
          <a:ext cx="104775" cy="224897"/>
        </a:xfrm>
        <a:prstGeom prst="rect">
          <a:avLst/>
        </a:prstGeom>
        <a:noFill/>
        <a:ln w="9525">
          <a:noFill/>
          <a:miter lim="800000"/>
          <a:headEnd/>
          <a:tailEnd/>
        </a:ln>
      </xdr:spPr>
    </xdr:sp>
    <xdr:clientData/>
  </xdr:oneCellAnchor>
  <xdr:oneCellAnchor>
    <xdr:from>
      <xdr:col>20</xdr:col>
      <xdr:colOff>85725</xdr:colOff>
      <xdr:row>269</xdr:row>
      <xdr:rowOff>0</xdr:rowOff>
    </xdr:from>
    <xdr:ext cx="104775" cy="224896"/>
    <xdr:sp macro="" textlink="">
      <xdr:nvSpPr>
        <xdr:cNvPr id="12" name="Text Box 26">
          <a:extLst>
            <a:ext uri="{FF2B5EF4-FFF2-40B4-BE49-F238E27FC236}">
              <a16:creationId xmlns:a16="http://schemas.microsoft.com/office/drawing/2014/main" id="{3A55EB1F-0DAE-4BB2-B781-87CC31B3FA05}"/>
            </a:ext>
          </a:extLst>
        </xdr:cNvPr>
        <xdr:cNvSpPr txBox="1">
          <a:spLocks noChangeArrowheads="1"/>
        </xdr:cNvSpPr>
      </xdr:nvSpPr>
      <xdr:spPr bwMode="auto">
        <a:xfrm>
          <a:off x="11896725" y="83467575"/>
          <a:ext cx="104775" cy="224896"/>
        </a:xfrm>
        <a:prstGeom prst="rect">
          <a:avLst/>
        </a:prstGeom>
        <a:noFill/>
        <a:ln w="9525">
          <a:noFill/>
          <a:miter lim="800000"/>
          <a:headEnd/>
          <a:tailEnd/>
        </a:ln>
      </xdr:spPr>
    </xdr:sp>
    <xdr:clientData/>
  </xdr:oneCellAnchor>
  <xdr:oneCellAnchor>
    <xdr:from>
      <xdr:col>20</xdr:col>
      <xdr:colOff>85725</xdr:colOff>
      <xdr:row>321</xdr:row>
      <xdr:rowOff>0</xdr:rowOff>
    </xdr:from>
    <xdr:ext cx="104775" cy="224896"/>
    <xdr:sp macro="" textlink="">
      <xdr:nvSpPr>
        <xdr:cNvPr id="13" name="Text Box 33">
          <a:extLst>
            <a:ext uri="{FF2B5EF4-FFF2-40B4-BE49-F238E27FC236}">
              <a16:creationId xmlns:a16="http://schemas.microsoft.com/office/drawing/2014/main" id="{049C3E64-C9CF-4A73-A9A6-904C63B3CE33}"/>
            </a:ext>
          </a:extLst>
        </xdr:cNvPr>
        <xdr:cNvSpPr txBox="1">
          <a:spLocks noChangeArrowheads="1"/>
        </xdr:cNvSpPr>
      </xdr:nvSpPr>
      <xdr:spPr bwMode="auto">
        <a:xfrm>
          <a:off x="11896725" y="94173675"/>
          <a:ext cx="104775" cy="224896"/>
        </a:xfrm>
        <a:prstGeom prst="rect">
          <a:avLst/>
        </a:prstGeom>
        <a:noFill/>
        <a:ln w="9525">
          <a:noFill/>
          <a:miter lim="800000"/>
          <a:headEnd/>
          <a:tailEnd/>
        </a:ln>
      </xdr:spPr>
    </xdr:sp>
    <xdr:clientData/>
  </xdr:oneCellAnchor>
  <xdr:oneCellAnchor>
    <xdr:from>
      <xdr:col>20</xdr:col>
      <xdr:colOff>85725</xdr:colOff>
      <xdr:row>321</xdr:row>
      <xdr:rowOff>0</xdr:rowOff>
    </xdr:from>
    <xdr:ext cx="104775" cy="224896"/>
    <xdr:sp macro="" textlink="">
      <xdr:nvSpPr>
        <xdr:cNvPr id="14" name="Text Box 34">
          <a:extLst>
            <a:ext uri="{FF2B5EF4-FFF2-40B4-BE49-F238E27FC236}">
              <a16:creationId xmlns:a16="http://schemas.microsoft.com/office/drawing/2014/main" id="{4C566E6D-3371-49B1-992E-74964463B922}"/>
            </a:ext>
          </a:extLst>
        </xdr:cNvPr>
        <xdr:cNvSpPr txBox="1">
          <a:spLocks noChangeArrowheads="1"/>
        </xdr:cNvSpPr>
      </xdr:nvSpPr>
      <xdr:spPr bwMode="auto">
        <a:xfrm>
          <a:off x="11896725" y="94173675"/>
          <a:ext cx="104775" cy="224896"/>
        </a:xfrm>
        <a:prstGeom prst="rect">
          <a:avLst/>
        </a:prstGeom>
        <a:noFill/>
        <a:ln w="9525">
          <a:noFill/>
          <a:miter lim="800000"/>
          <a:headEnd/>
          <a:tailEnd/>
        </a:ln>
      </xdr:spPr>
    </xdr:sp>
    <xdr:clientData/>
  </xdr:oneCellAnchor>
  <xdr:oneCellAnchor>
    <xdr:from>
      <xdr:col>20</xdr:col>
      <xdr:colOff>85725</xdr:colOff>
      <xdr:row>321</xdr:row>
      <xdr:rowOff>0</xdr:rowOff>
    </xdr:from>
    <xdr:ext cx="104775" cy="224896"/>
    <xdr:sp macro="" textlink="">
      <xdr:nvSpPr>
        <xdr:cNvPr id="15" name="Text Box 35">
          <a:extLst>
            <a:ext uri="{FF2B5EF4-FFF2-40B4-BE49-F238E27FC236}">
              <a16:creationId xmlns:a16="http://schemas.microsoft.com/office/drawing/2014/main" id="{8FC3C6D4-8258-4243-9AA7-EE788C15406F}"/>
            </a:ext>
          </a:extLst>
        </xdr:cNvPr>
        <xdr:cNvSpPr txBox="1">
          <a:spLocks noChangeArrowheads="1"/>
        </xdr:cNvSpPr>
      </xdr:nvSpPr>
      <xdr:spPr bwMode="auto">
        <a:xfrm>
          <a:off x="11896725" y="94173675"/>
          <a:ext cx="104775" cy="224896"/>
        </a:xfrm>
        <a:prstGeom prst="rect">
          <a:avLst/>
        </a:prstGeom>
        <a:noFill/>
        <a:ln w="9525">
          <a:noFill/>
          <a:miter lim="800000"/>
          <a:headEnd/>
          <a:tailEnd/>
        </a:ln>
      </xdr:spPr>
    </xdr:sp>
    <xdr:clientData/>
  </xdr:oneCellAnchor>
  <xdr:oneCellAnchor>
    <xdr:from>
      <xdr:col>20</xdr:col>
      <xdr:colOff>85725</xdr:colOff>
      <xdr:row>321</xdr:row>
      <xdr:rowOff>0</xdr:rowOff>
    </xdr:from>
    <xdr:ext cx="104775" cy="224896"/>
    <xdr:sp macro="" textlink="">
      <xdr:nvSpPr>
        <xdr:cNvPr id="16" name="Text Box 36">
          <a:extLst>
            <a:ext uri="{FF2B5EF4-FFF2-40B4-BE49-F238E27FC236}">
              <a16:creationId xmlns:a16="http://schemas.microsoft.com/office/drawing/2014/main" id="{43D42D4D-FABD-4D4C-8CDD-85C8AE992A4D}"/>
            </a:ext>
          </a:extLst>
        </xdr:cNvPr>
        <xdr:cNvSpPr txBox="1">
          <a:spLocks noChangeArrowheads="1"/>
        </xdr:cNvSpPr>
      </xdr:nvSpPr>
      <xdr:spPr bwMode="auto">
        <a:xfrm>
          <a:off x="11896725" y="94173675"/>
          <a:ext cx="104775" cy="224896"/>
        </a:xfrm>
        <a:prstGeom prst="rect">
          <a:avLst/>
        </a:prstGeom>
        <a:noFill/>
        <a:ln w="9525">
          <a:noFill/>
          <a:miter lim="800000"/>
          <a:headEnd/>
          <a:tailEnd/>
        </a:ln>
      </xdr:spPr>
    </xdr:sp>
    <xdr:clientData/>
  </xdr:oneCellAnchor>
  <xdr:oneCellAnchor>
    <xdr:from>
      <xdr:col>20</xdr:col>
      <xdr:colOff>85725</xdr:colOff>
      <xdr:row>318</xdr:row>
      <xdr:rowOff>0</xdr:rowOff>
    </xdr:from>
    <xdr:ext cx="104775" cy="224897"/>
    <xdr:sp macro="" textlink="">
      <xdr:nvSpPr>
        <xdr:cNvPr id="17" name="Text Box 37">
          <a:extLst>
            <a:ext uri="{FF2B5EF4-FFF2-40B4-BE49-F238E27FC236}">
              <a16:creationId xmlns:a16="http://schemas.microsoft.com/office/drawing/2014/main" id="{5E425F45-C894-4072-AE85-0C3147C83B48}"/>
            </a:ext>
          </a:extLst>
        </xdr:cNvPr>
        <xdr:cNvSpPr txBox="1">
          <a:spLocks noChangeArrowheads="1"/>
        </xdr:cNvSpPr>
      </xdr:nvSpPr>
      <xdr:spPr bwMode="auto">
        <a:xfrm>
          <a:off x="11896725" y="93754575"/>
          <a:ext cx="104775" cy="224897"/>
        </a:xfrm>
        <a:prstGeom prst="rect">
          <a:avLst/>
        </a:prstGeom>
        <a:noFill/>
        <a:ln w="9525">
          <a:noFill/>
          <a:miter lim="800000"/>
          <a:headEnd/>
          <a:tailEnd/>
        </a:ln>
      </xdr:spPr>
    </xdr:sp>
    <xdr:clientData/>
  </xdr:oneCellAnchor>
  <xdr:oneCellAnchor>
    <xdr:from>
      <xdr:col>20</xdr:col>
      <xdr:colOff>85725</xdr:colOff>
      <xdr:row>318</xdr:row>
      <xdr:rowOff>0</xdr:rowOff>
    </xdr:from>
    <xdr:ext cx="104775" cy="224897"/>
    <xdr:sp macro="" textlink="">
      <xdr:nvSpPr>
        <xdr:cNvPr id="18" name="Text Box 38">
          <a:extLst>
            <a:ext uri="{FF2B5EF4-FFF2-40B4-BE49-F238E27FC236}">
              <a16:creationId xmlns:a16="http://schemas.microsoft.com/office/drawing/2014/main" id="{096A96E5-C32C-4F61-AAE7-D29715AD5835}"/>
            </a:ext>
          </a:extLst>
        </xdr:cNvPr>
        <xdr:cNvSpPr txBox="1">
          <a:spLocks noChangeArrowheads="1"/>
        </xdr:cNvSpPr>
      </xdr:nvSpPr>
      <xdr:spPr bwMode="auto">
        <a:xfrm>
          <a:off x="11896725" y="93754575"/>
          <a:ext cx="104775" cy="224897"/>
        </a:xfrm>
        <a:prstGeom prst="rect">
          <a:avLst/>
        </a:prstGeom>
        <a:noFill/>
        <a:ln w="9525">
          <a:noFill/>
          <a:miter lim="800000"/>
          <a:headEnd/>
          <a:tailEnd/>
        </a:ln>
      </xdr:spPr>
    </xdr:sp>
    <xdr:clientData/>
  </xdr:oneCellAnchor>
  <xdr:oneCellAnchor>
    <xdr:from>
      <xdr:col>20</xdr:col>
      <xdr:colOff>85725</xdr:colOff>
      <xdr:row>318</xdr:row>
      <xdr:rowOff>0</xdr:rowOff>
    </xdr:from>
    <xdr:ext cx="104775" cy="224897"/>
    <xdr:sp macro="" textlink="">
      <xdr:nvSpPr>
        <xdr:cNvPr id="19" name="Text Box 39">
          <a:extLst>
            <a:ext uri="{FF2B5EF4-FFF2-40B4-BE49-F238E27FC236}">
              <a16:creationId xmlns:a16="http://schemas.microsoft.com/office/drawing/2014/main" id="{94E46E6F-6197-480F-BC7A-1CF70436E2C5}"/>
            </a:ext>
          </a:extLst>
        </xdr:cNvPr>
        <xdr:cNvSpPr txBox="1">
          <a:spLocks noChangeArrowheads="1"/>
        </xdr:cNvSpPr>
      </xdr:nvSpPr>
      <xdr:spPr bwMode="auto">
        <a:xfrm>
          <a:off x="11896725" y="93754575"/>
          <a:ext cx="104775" cy="224897"/>
        </a:xfrm>
        <a:prstGeom prst="rect">
          <a:avLst/>
        </a:prstGeom>
        <a:noFill/>
        <a:ln w="9525">
          <a:noFill/>
          <a:miter lim="800000"/>
          <a:headEnd/>
          <a:tailEnd/>
        </a:ln>
      </xdr:spPr>
    </xdr:sp>
    <xdr:clientData/>
  </xdr:oneCellAnchor>
  <xdr:oneCellAnchor>
    <xdr:from>
      <xdr:col>20</xdr:col>
      <xdr:colOff>85725</xdr:colOff>
      <xdr:row>318</xdr:row>
      <xdr:rowOff>0</xdr:rowOff>
    </xdr:from>
    <xdr:ext cx="104775" cy="224897"/>
    <xdr:sp macro="" textlink="">
      <xdr:nvSpPr>
        <xdr:cNvPr id="20" name="Text Box 40">
          <a:extLst>
            <a:ext uri="{FF2B5EF4-FFF2-40B4-BE49-F238E27FC236}">
              <a16:creationId xmlns:a16="http://schemas.microsoft.com/office/drawing/2014/main" id="{29E864BC-6E2A-460D-8E53-0FACBF346E8A}"/>
            </a:ext>
          </a:extLst>
        </xdr:cNvPr>
        <xdr:cNvSpPr txBox="1">
          <a:spLocks noChangeArrowheads="1"/>
        </xdr:cNvSpPr>
      </xdr:nvSpPr>
      <xdr:spPr bwMode="auto">
        <a:xfrm>
          <a:off x="11896725" y="93754575"/>
          <a:ext cx="104775" cy="224897"/>
        </a:xfrm>
        <a:prstGeom prst="rect">
          <a:avLst/>
        </a:prstGeom>
        <a:noFill/>
        <a:ln w="9525">
          <a:noFill/>
          <a:miter lim="800000"/>
          <a:headEnd/>
          <a:tailEnd/>
        </a:ln>
      </xdr:spPr>
    </xdr:sp>
    <xdr:clientData/>
  </xdr:oneCellAnchor>
  <xdr:twoCellAnchor>
    <xdr:from>
      <xdr:col>34</xdr:col>
      <xdr:colOff>57150</xdr:colOff>
      <xdr:row>4</xdr:row>
      <xdr:rowOff>276225</xdr:rowOff>
    </xdr:from>
    <xdr:to>
      <xdr:col>34</xdr:col>
      <xdr:colOff>295275</xdr:colOff>
      <xdr:row>4</xdr:row>
      <xdr:rowOff>371475</xdr:rowOff>
    </xdr:to>
    <xdr:sp macro="" textlink="">
      <xdr:nvSpPr>
        <xdr:cNvPr id="21" name="Rectangle 41">
          <a:extLst>
            <a:ext uri="{FF2B5EF4-FFF2-40B4-BE49-F238E27FC236}">
              <a16:creationId xmlns:a16="http://schemas.microsoft.com/office/drawing/2014/main" id="{34E9C101-88CD-4243-AE63-973273FEE0BC}"/>
            </a:ext>
          </a:extLst>
        </xdr:cNvPr>
        <xdr:cNvSpPr>
          <a:spLocks noChangeArrowheads="1"/>
        </xdr:cNvSpPr>
      </xdr:nvSpPr>
      <xdr:spPr bwMode="auto">
        <a:xfrm>
          <a:off x="17735550" y="1419225"/>
          <a:ext cx="238125" cy="95250"/>
        </a:xfrm>
        <a:prstGeom prst="rect">
          <a:avLst/>
        </a:prstGeom>
        <a:noFill/>
        <a:ln w="12700">
          <a:solidFill>
            <a:srgbClr val="000000"/>
          </a:solidFill>
          <a:prstDash val="lgDashDot"/>
          <a:miter lim="800000"/>
          <a:headEnd/>
          <a:tailEnd/>
        </a:ln>
      </xdr:spPr>
    </xdr:sp>
    <xdr:clientData/>
  </xdr:twoCellAnchor>
  <xdr:twoCellAnchor>
    <xdr:from>
      <xdr:col>34</xdr:col>
      <xdr:colOff>57150</xdr:colOff>
      <xdr:row>4</xdr:row>
      <xdr:rowOff>114300</xdr:rowOff>
    </xdr:from>
    <xdr:to>
      <xdr:col>34</xdr:col>
      <xdr:colOff>295275</xdr:colOff>
      <xdr:row>4</xdr:row>
      <xdr:rowOff>219075</xdr:rowOff>
    </xdr:to>
    <xdr:sp macro="" textlink="">
      <xdr:nvSpPr>
        <xdr:cNvPr id="22" name="Rectangle 42">
          <a:extLst>
            <a:ext uri="{FF2B5EF4-FFF2-40B4-BE49-F238E27FC236}">
              <a16:creationId xmlns:a16="http://schemas.microsoft.com/office/drawing/2014/main" id="{3D46060F-B38A-4DBB-BCE3-B1EECECC7360}"/>
            </a:ext>
          </a:extLst>
        </xdr:cNvPr>
        <xdr:cNvSpPr>
          <a:spLocks noChangeArrowheads="1"/>
        </xdr:cNvSpPr>
      </xdr:nvSpPr>
      <xdr:spPr bwMode="auto">
        <a:xfrm>
          <a:off x="17735550" y="1257300"/>
          <a:ext cx="238125" cy="104775"/>
        </a:xfrm>
        <a:prstGeom prst="rect">
          <a:avLst/>
        </a:prstGeom>
        <a:noFill/>
        <a:ln w="28575">
          <a:solidFill>
            <a:srgbClr val="000000"/>
          </a:solidFill>
          <a:miter lim="800000"/>
          <a:headEnd/>
          <a:tailEnd/>
        </a:ln>
      </xdr:spPr>
    </xdr:sp>
    <xdr:clientData/>
  </xdr:twoCellAnchor>
  <xdr:oneCellAnchor>
    <xdr:from>
      <xdr:col>20</xdr:col>
      <xdr:colOff>85725</xdr:colOff>
      <xdr:row>271</xdr:row>
      <xdr:rowOff>0</xdr:rowOff>
    </xdr:from>
    <xdr:ext cx="104775" cy="228600"/>
    <xdr:sp macro="" textlink="">
      <xdr:nvSpPr>
        <xdr:cNvPr id="23" name="Text Box 43">
          <a:extLst>
            <a:ext uri="{FF2B5EF4-FFF2-40B4-BE49-F238E27FC236}">
              <a16:creationId xmlns:a16="http://schemas.microsoft.com/office/drawing/2014/main" id="{AE00E006-1369-43DD-8D02-581BF452919A}"/>
            </a:ext>
          </a:extLst>
        </xdr:cNvPr>
        <xdr:cNvSpPr txBox="1">
          <a:spLocks noChangeArrowheads="1"/>
        </xdr:cNvSpPr>
      </xdr:nvSpPr>
      <xdr:spPr bwMode="auto">
        <a:xfrm>
          <a:off x="11896725" y="83667600"/>
          <a:ext cx="104775" cy="228600"/>
        </a:xfrm>
        <a:prstGeom prst="rect">
          <a:avLst/>
        </a:prstGeom>
        <a:noFill/>
        <a:ln w="9525">
          <a:noFill/>
          <a:miter lim="800000"/>
          <a:headEnd/>
          <a:tailEnd/>
        </a:ln>
      </xdr:spPr>
    </xdr:sp>
    <xdr:clientData/>
  </xdr:oneCellAnchor>
  <xdr:oneCellAnchor>
    <xdr:from>
      <xdr:col>20</xdr:col>
      <xdr:colOff>85725</xdr:colOff>
      <xdr:row>324</xdr:row>
      <xdr:rowOff>0</xdr:rowOff>
    </xdr:from>
    <xdr:ext cx="104775" cy="228600"/>
    <xdr:sp macro="" textlink="">
      <xdr:nvSpPr>
        <xdr:cNvPr id="24" name="Text Box 44">
          <a:extLst>
            <a:ext uri="{FF2B5EF4-FFF2-40B4-BE49-F238E27FC236}">
              <a16:creationId xmlns:a16="http://schemas.microsoft.com/office/drawing/2014/main" id="{5C07398C-5CF5-406C-8F5D-DCFCAA4A6E56}"/>
            </a:ext>
          </a:extLst>
        </xdr:cNvPr>
        <xdr:cNvSpPr txBox="1">
          <a:spLocks noChangeArrowheads="1"/>
        </xdr:cNvSpPr>
      </xdr:nvSpPr>
      <xdr:spPr bwMode="auto">
        <a:xfrm>
          <a:off x="11896725" y="94821375"/>
          <a:ext cx="104775" cy="228600"/>
        </a:xfrm>
        <a:prstGeom prst="rect">
          <a:avLst/>
        </a:prstGeom>
        <a:noFill/>
        <a:ln w="9525">
          <a:noFill/>
          <a:miter lim="800000"/>
          <a:headEnd/>
          <a:tailEnd/>
        </a:ln>
      </xdr:spPr>
    </xdr:sp>
    <xdr:clientData/>
  </xdr:oneCellAnchor>
  <xdr:oneCellAnchor>
    <xdr:from>
      <xdr:col>20</xdr:col>
      <xdr:colOff>85725</xdr:colOff>
      <xdr:row>324</xdr:row>
      <xdr:rowOff>0</xdr:rowOff>
    </xdr:from>
    <xdr:ext cx="104775" cy="228600"/>
    <xdr:sp macro="" textlink="">
      <xdr:nvSpPr>
        <xdr:cNvPr id="25" name="Text Box 45">
          <a:extLst>
            <a:ext uri="{FF2B5EF4-FFF2-40B4-BE49-F238E27FC236}">
              <a16:creationId xmlns:a16="http://schemas.microsoft.com/office/drawing/2014/main" id="{4F5E9218-AC50-48B6-8B12-71FBC7F282A7}"/>
            </a:ext>
          </a:extLst>
        </xdr:cNvPr>
        <xdr:cNvSpPr txBox="1">
          <a:spLocks noChangeArrowheads="1"/>
        </xdr:cNvSpPr>
      </xdr:nvSpPr>
      <xdr:spPr bwMode="auto">
        <a:xfrm>
          <a:off x="11896725" y="94821375"/>
          <a:ext cx="104775" cy="228600"/>
        </a:xfrm>
        <a:prstGeom prst="rect">
          <a:avLst/>
        </a:prstGeom>
        <a:noFill/>
        <a:ln w="9525">
          <a:noFill/>
          <a:miter lim="800000"/>
          <a:headEnd/>
          <a:tailEnd/>
        </a:ln>
      </xdr:spPr>
    </xdr:sp>
    <xdr:clientData/>
  </xdr:oneCellAnchor>
  <xdr:twoCellAnchor>
    <xdr:from>
      <xdr:col>4</xdr:col>
      <xdr:colOff>695325</xdr:colOff>
      <xdr:row>344</xdr:row>
      <xdr:rowOff>50800</xdr:rowOff>
    </xdr:from>
    <xdr:to>
      <xdr:col>7</xdr:col>
      <xdr:colOff>323850</xdr:colOff>
      <xdr:row>345</xdr:row>
      <xdr:rowOff>190500</xdr:rowOff>
    </xdr:to>
    <xdr:sp macro="" textlink="">
      <xdr:nvSpPr>
        <xdr:cNvPr id="26" name="Text Box 46">
          <a:extLst>
            <a:ext uri="{FF2B5EF4-FFF2-40B4-BE49-F238E27FC236}">
              <a16:creationId xmlns:a16="http://schemas.microsoft.com/office/drawing/2014/main" id="{F3A15E6F-FD33-4AE0-90DF-C202D88ACCE4}"/>
            </a:ext>
          </a:extLst>
        </xdr:cNvPr>
        <xdr:cNvSpPr txBox="1">
          <a:spLocks noChangeArrowheads="1"/>
        </xdr:cNvSpPr>
      </xdr:nvSpPr>
      <xdr:spPr bwMode="auto">
        <a:xfrm>
          <a:off x="2695575" y="102796975"/>
          <a:ext cx="1152525" cy="463550"/>
        </a:xfrm>
        <a:prstGeom prst="rect">
          <a:avLst/>
        </a:prstGeom>
        <a:solidFill>
          <a:srgbClr val="FFFFFF"/>
        </a:solidFill>
        <a:ln w="9525">
          <a:solidFill>
            <a:srgbClr val="000000"/>
          </a:solidFill>
          <a:miter lim="800000"/>
          <a:headEnd/>
          <a:tailEnd/>
        </a:ln>
      </xdr:spPr>
      <xdr:txBody>
        <a:bodyPr vertOverflow="clip" wrap="square" lIns="36576" tIns="18288" rIns="36576" bIns="18288" anchor="ctr" upright="1"/>
        <a:lstStyle/>
        <a:p>
          <a:pPr algn="ctr" rtl="0">
            <a:defRPr sz="1000"/>
          </a:pPr>
          <a:r>
            <a:rPr lang="ja-JP" altLang="en-US" sz="1200" b="1" i="0" u="none" strike="noStrike" baseline="0">
              <a:solidFill>
                <a:srgbClr val="000000"/>
              </a:solidFill>
              <a:latin typeface="ＭＳ Ｐゴシック"/>
              <a:ea typeface="ＭＳ Ｐゴシック"/>
            </a:rPr>
            <a:t>予算額</a:t>
          </a:r>
        </a:p>
      </xdr:txBody>
    </xdr:sp>
    <xdr:clientData/>
  </xdr:twoCellAnchor>
  <xdr:oneCellAnchor>
    <xdr:from>
      <xdr:col>16</xdr:col>
      <xdr:colOff>85725</xdr:colOff>
      <xdr:row>316</xdr:row>
      <xdr:rowOff>0</xdr:rowOff>
    </xdr:from>
    <xdr:ext cx="104775" cy="224896"/>
    <xdr:sp macro="" textlink="">
      <xdr:nvSpPr>
        <xdr:cNvPr id="27" name="Text Box 48">
          <a:extLst>
            <a:ext uri="{FF2B5EF4-FFF2-40B4-BE49-F238E27FC236}">
              <a16:creationId xmlns:a16="http://schemas.microsoft.com/office/drawing/2014/main" id="{B8A094BE-DFB4-44C6-99A5-105E6B3D1C47}"/>
            </a:ext>
          </a:extLst>
        </xdr:cNvPr>
        <xdr:cNvSpPr txBox="1">
          <a:spLocks noChangeArrowheads="1"/>
        </xdr:cNvSpPr>
      </xdr:nvSpPr>
      <xdr:spPr bwMode="auto">
        <a:xfrm>
          <a:off x="8839200" y="93335475"/>
          <a:ext cx="104775" cy="224896"/>
        </a:xfrm>
        <a:prstGeom prst="rect">
          <a:avLst/>
        </a:prstGeom>
        <a:noFill/>
        <a:ln w="9525">
          <a:noFill/>
          <a:miter lim="800000"/>
          <a:headEnd/>
          <a:tailEnd/>
        </a:ln>
      </xdr:spPr>
    </xdr:sp>
    <xdr:clientData/>
  </xdr:oneCellAnchor>
  <xdr:twoCellAnchor>
    <xdr:from>
      <xdr:col>18</xdr:col>
      <xdr:colOff>9525</xdr:colOff>
      <xdr:row>22</xdr:row>
      <xdr:rowOff>0</xdr:rowOff>
    </xdr:from>
    <xdr:to>
      <xdr:col>18</xdr:col>
      <xdr:colOff>438150</xdr:colOff>
      <xdr:row>22</xdr:row>
      <xdr:rowOff>0</xdr:rowOff>
    </xdr:to>
    <xdr:sp macro="" textlink="">
      <xdr:nvSpPr>
        <xdr:cNvPr id="28" name="Text Box 49">
          <a:extLst>
            <a:ext uri="{FF2B5EF4-FFF2-40B4-BE49-F238E27FC236}">
              <a16:creationId xmlns:a16="http://schemas.microsoft.com/office/drawing/2014/main" id="{7FC78530-9247-41A8-86A6-5DE9B78DE70F}"/>
            </a:ext>
          </a:extLst>
        </xdr:cNvPr>
        <xdr:cNvSpPr txBox="1">
          <a:spLocks noChangeArrowheads="1"/>
        </xdr:cNvSpPr>
      </xdr:nvSpPr>
      <xdr:spPr bwMode="auto">
        <a:xfrm>
          <a:off x="10410825" y="6696075"/>
          <a:ext cx="428625" cy="0"/>
        </a:xfrm>
        <a:prstGeom prst="rect">
          <a:avLst/>
        </a:prstGeom>
        <a:noFill/>
        <a:ln>
          <a:noFill/>
        </a:ln>
      </xdr:spPr>
      <xdr:txBody>
        <a:bodyPr vertOverflow="clip" wrap="square" lIns="27432" tIns="18288" rIns="27432" bIns="0" anchor="t" upright="1"/>
        <a:lstStyle/>
        <a:p>
          <a:pPr algn="ctr" rtl="0">
            <a:defRPr sz="1000"/>
          </a:pPr>
          <a:r>
            <a:rPr lang="ja-JP" altLang="en-US" sz="1200" b="0" i="0" u="none" strike="noStrike" baseline="0">
              <a:solidFill>
                <a:srgbClr val="000000"/>
              </a:solidFill>
              <a:latin typeface="ＭＳ Ｐゴシック"/>
              <a:ea typeface="ＭＳ Ｐゴシック"/>
            </a:rPr>
            <a:t>②</a:t>
          </a:r>
        </a:p>
      </xdr:txBody>
    </xdr:sp>
    <xdr:clientData/>
  </xdr:twoCellAnchor>
  <xdr:twoCellAnchor>
    <xdr:from>
      <xdr:col>18</xdr:col>
      <xdr:colOff>0</xdr:colOff>
      <xdr:row>22</xdr:row>
      <xdr:rowOff>0</xdr:rowOff>
    </xdr:from>
    <xdr:to>
      <xdr:col>18</xdr:col>
      <xdr:colOff>333375</xdr:colOff>
      <xdr:row>22</xdr:row>
      <xdr:rowOff>0</xdr:rowOff>
    </xdr:to>
    <xdr:sp macro="" textlink="">
      <xdr:nvSpPr>
        <xdr:cNvPr id="29" name="Text Box 50">
          <a:extLst>
            <a:ext uri="{FF2B5EF4-FFF2-40B4-BE49-F238E27FC236}">
              <a16:creationId xmlns:a16="http://schemas.microsoft.com/office/drawing/2014/main" id="{E7F3DB05-F613-40EC-BDB1-51A11B5A91BD}"/>
            </a:ext>
          </a:extLst>
        </xdr:cNvPr>
        <xdr:cNvSpPr txBox="1">
          <a:spLocks noChangeArrowheads="1"/>
        </xdr:cNvSpPr>
      </xdr:nvSpPr>
      <xdr:spPr bwMode="auto">
        <a:xfrm>
          <a:off x="10401300" y="6696075"/>
          <a:ext cx="333375" cy="0"/>
        </a:xfrm>
        <a:prstGeom prst="rect">
          <a:avLst/>
        </a:prstGeom>
        <a:noFill/>
        <a:ln>
          <a:noFill/>
        </a:ln>
      </xdr:spPr>
      <xdr:txBody>
        <a:bodyPr vertOverflow="clip" wrap="square" lIns="27432" tIns="18288" rIns="27432" bIns="0" anchor="t" upright="1"/>
        <a:lstStyle/>
        <a:p>
          <a:pPr algn="ctr" rtl="0">
            <a:defRPr sz="1000"/>
          </a:pPr>
          <a:r>
            <a:rPr lang="ja-JP" altLang="en-US" sz="1200" b="0" i="0" u="none" strike="noStrike" baseline="0">
              <a:solidFill>
                <a:srgbClr val="FFFFFF"/>
              </a:solidFill>
              <a:latin typeface="ＭＳ Ｐゴシック"/>
              <a:ea typeface="ＭＳ Ｐゴシック"/>
            </a:rPr>
            <a:t>❷</a:t>
          </a:r>
        </a:p>
      </xdr:txBody>
    </xdr:sp>
    <xdr:clientData/>
  </xdr:twoCellAnchor>
  <xdr:twoCellAnchor>
    <xdr:from>
      <xdr:col>18</xdr:col>
      <xdr:colOff>28575</xdr:colOff>
      <xdr:row>22</xdr:row>
      <xdr:rowOff>0</xdr:rowOff>
    </xdr:from>
    <xdr:to>
      <xdr:col>18</xdr:col>
      <xdr:colOff>314325</xdr:colOff>
      <xdr:row>22</xdr:row>
      <xdr:rowOff>0</xdr:rowOff>
    </xdr:to>
    <xdr:sp macro="" textlink="">
      <xdr:nvSpPr>
        <xdr:cNvPr id="30" name="Text Box 51">
          <a:extLst>
            <a:ext uri="{FF2B5EF4-FFF2-40B4-BE49-F238E27FC236}">
              <a16:creationId xmlns:a16="http://schemas.microsoft.com/office/drawing/2014/main" id="{4466386A-0B81-4C3C-80EF-4B6C92B0BDBB}"/>
            </a:ext>
          </a:extLst>
        </xdr:cNvPr>
        <xdr:cNvSpPr txBox="1">
          <a:spLocks noChangeArrowheads="1"/>
        </xdr:cNvSpPr>
      </xdr:nvSpPr>
      <xdr:spPr bwMode="auto">
        <a:xfrm>
          <a:off x="10429875" y="6696075"/>
          <a:ext cx="285750" cy="0"/>
        </a:xfrm>
        <a:prstGeom prst="rect">
          <a:avLst/>
        </a:prstGeom>
        <a:noFill/>
        <a:ln>
          <a:noFill/>
        </a:ln>
      </xdr:spPr>
      <xdr:txBody>
        <a:bodyPr vertOverflow="clip" wrap="square" lIns="27432" tIns="18288" rIns="27432" bIns="0" anchor="t" upright="1"/>
        <a:lstStyle/>
        <a:p>
          <a:pPr algn="ctr" rtl="0">
            <a:defRPr sz="1000"/>
          </a:pPr>
          <a:r>
            <a:rPr lang="ja-JP" altLang="en-US" sz="1200" b="0" i="0" u="none" strike="noStrike" baseline="0">
              <a:solidFill>
                <a:srgbClr val="FFFFFF"/>
              </a:solidFill>
              <a:latin typeface="ＭＳ Ｐゴシック"/>
              <a:ea typeface="ＭＳ Ｐゴシック"/>
            </a:rPr>
            <a:t>❷</a:t>
          </a:r>
        </a:p>
      </xdr:txBody>
    </xdr:sp>
    <xdr:clientData/>
  </xdr:twoCellAnchor>
  <xdr:twoCellAnchor>
    <xdr:from>
      <xdr:col>18</xdr:col>
      <xdr:colOff>38100</xdr:colOff>
      <xdr:row>22</xdr:row>
      <xdr:rowOff>0</xdr:rowOff>
    </xdr:from>
    <xdr:to>
      <xdr:col>18</xdr:col>
      <xdr:colOff>333375</xdr:colOff>
      <xdr:row>22</xdr:row>
      <xdr:rowOff>0</xdr:rowOff>
    </xdr:to>
    <xdr:sp macro="" textlink="">
      <xdr:nvSpPr>
        <xdr:cNvPr id="31" name="Text Box 52">
          <a:extLst>
            <a:ext uri="{FF2B5EF4-FFF2-40B4-BE49-F238E27FC236}">
              <a16:creationId xmlns:a16="http://schemas.microsoft.com/office/drawing/2014/main" id="{E187CC0F-B18E-4AAD-8CDD-67336723F3A0}"/>
            </a:ext>
          </a:extLst>
        </xdr:cNvPr>
        <xdr:cNvSpPr txBox="1">
          <a:spLocks noChangeArrowheads="1"/>
        </xdr:cNvSpPr>
      </xdr:nvSpPr>
      <xdr:spPr bwMode="auto">
        <a:xfrm>
          <a:off x="10439400" y="6696075"/>
          <a:ext cx="295275" cy="0"/>
        </a:xfrm>
        <a:prstGeom prst="rect">
          <a:avLst/>
        </a:prstGeom>
        <a:noFill/>
        <a:ln>
          <a:noFill/>
        </a:ln>
      </xdr:spPr>
      <xdr:txBody>
        <a:bodyPr vertOverflow="clip" wrap="square" lIns="27432" tIns="18288" rIns="27432" bIns="0" anchor="t" upright="1"/>
        <a:lstStyle/>
        <a:p>
          <a:pPr algn="ctr" rtl="0">
            <a:defRPr sz="1000"/>
          </a:pPr>
          <a:r>
            <a:rPr lang="ja-JP" altLang="en-US" sz="1200" b="0" i="0" u="none" strike="noStrike" baseline="0">
              <a:solidFill>
                <a:srgbClr val="FFFFFF"/>
              </a:solidFill>
              <a:latin typeface="ＭＳ Ｐゴシック"/>
              <a:ea typeface="ＭＳ Ｐゴシック"/>
            </a:rPr>
            <a:t>❷</a:t>
          </a:r>
        </a:p>
      </xdr:txBody>
    </xdr:sp>
    <xdr:clientData/>
  </xdr:twoCellAnchor>
  <xdr:twoCellAnchor>
    <xdr:from>
      <xdr:col>18</xdr:col>
      <xdr:colOff>9525</xdr:colOff>
      <xdr:row>22</xdr:row>
      <xdr:rowOff>0</xdr:rowOff>
    </xdr:from>
    <xdr:to>
      <xdr:col>18</xdr:col>
      <xdr:colOff>438150</xdr:colOff>
      <xdr:row>22</xdr:row>
      <xdr:rowOff>0</xdr:rowOff>
    </xdr:to>
    <xdr:sp macro="" textlink="">
      <xdr:nvSpPr>
        <xdr:cNvPr id="32" name="Text Box 53">
          <a:extLst>
            <a:ext uri="{FF2B5EF4-FFF2-40B4-BE49-F238E27FC236}">
              <a16:creationId xmlns:a16="http://schemas.microsoft.com/office/drawing/2014/main" id="{3D2A93C6-1462-4030-B965-DA4AFC26DD92}"/>
            </a:ext>
          </a:extLst>
        </xdr:cNvPr>
        <xdr:cNvSpPr txBox="1">
          <a:spLocks noChangeArrowheads="1"/>
        </xdr:cNvSpPr>
      </xdr:nvSpPr>
      <xdr:spPr bwMode="auto">
        <a:xfrm>
          <a:off x="10410825" y="6696075"/>
          <a:ext cx="428625" cy="0"/>
        </a:xfrm>
        <a:prstGeom prst="rect">
          <a:avLst/>
        </a:prstGeom>
        <a:noFill/>
        <a:ln>
          <a:noFill/>
        </a:ln>
      </xdr:spPr>
      <xdr:txBody>
        <a:bodyPr vertOverflow="clip" wrap="square" lIns="27432" tIns="18288" rIns="27432" bIns="0" anchor="t" upright="1"/>
        <a:lstStyle/>
        <a:p>
          <a:pPr algn="ctr" rtl="0">
            <a:defRPr sz="1000"/>
          </a:pPr>
          <a:r>
            <a:rPr lang="ja-JP" altLang="en-US" sz="1200" b="0" i="0" u="none" strike="noStrike" baseline="0">
              <a:solidFill>
                <a:srgbClr val="000000"/>
              </a:solidFill>
              <a:latin typeface="ＭＳ Ｐゴシック"/>
              <a:ea typeface="ＭＳ Ｐゴシック"/>
            </a:rPr>
            <a:t>①</a:t>
          </a:r>
        </a:p>
      </xdr:txBody>
    </xdr:sp>
    <xdr:clientData/>
  </xdr:twoCellAnchor>
  <xdr:oneCellAnchor>
    <xdr:from>
      <xdr:col>16</xdr:col>
      <xdr:colOff>85725</xdr:colOff>
      <xdr:row>268</xdr:row>
      <xdr:rowOff>0</xdr:rowOff>
    </xdr:from>
    <xdr:ext cx="104775" cy="228600"/>
    <xdr:sp macro="" textlink="">
      <xdr:nvSpPr>
        <xdr:cNvPr id="33" name="Text Box 54">
          <a:extLst>
            <a:ext uri="{FF2B5EF4-FFF2-40B4-BE49-F238E27FC236}">
              <a16:creationId xmlns:a16="http://schemas.microsoft.com/office/drawing/2014/main" id="{4D7E2F74-50B9-4179-9C10-AB72C269D403}"/>
            </a:ext>
          </a:extLst>
        </xdr:cNvPr>
        <xdr:cNvSpPr txBox="1">
          <a:spLocks noChangeArrowheads="1"/>
        </xdr:cNvSpPr>
      </xdr:nvSpPr>
      <xdr:spPr bwMode="auto">
        <a:xfrm>
          <a:off x="8839200" y="83258025"/>
          <a:ext cx="104775" cy="228600"/>
        </a:xfrm>
        <a:prstGeom prst="rect">
          <a:avLst/>
        </a:prstGeom>
        <a:noFill/>
        <a:ln w="9525">
          <a:noFill/>
          <a:miter lim="800000"/>
          <a:headEnd/>
          <a:tailEnd/>
        </a:ln>
      </xdr:spPr>
    </xdr:sp>
    <xdr:clientData/>
  </xdr:oneCellAnchor>
  <xdr:oneCellAnchor>
    <xdr:from>
      <xdr:col>16</xdr:col>
      <xdr:colOff>85725</xdr:colOff>
      <xdr:row>327</xdr:row>
      <xdr:rowOff>0</xdr:rowOff>
    </xdr:from>
    <xdr:ext cx="104775" cy="228600"/>
    <xdr:sp macro="" textlink="">
      <xdr:nvSpPr>
        <xdr:cNvPr id="34" name="Text Box 55">
          <a:extLst>
            <a:ext uri="{FF2B5EF4-FFF2-40B4-BE49-F238E27FC236}">
              <a16:creationId xmlns:a16="http://schemas.microsoft.com/office/drawing/2014/main" id="{4EEEE2F3-1360-4067-B5F0-A715811E2B5D}"/>
            </a:ext>
          </a:extLst>
        </xdr:cNvPr>
        <xdr:cNvSpPr txBox="1">
          <a:spLocks noChangeArrowheads="1"/>
        </xdr:cNvSpPr>
      </xdr:nvSpPr>
      <xdr:spPr bwMode="auto">
        <a:xfrm>
          <a:off x="8839200" y="96021525"/>
          <a:ext cx="104775" cy="228600"/>
        </a:xfrm>
        <a:prstGeom prst="rect">
          <a:avLst/>
        </a:prstGeom>
        <a:noFill/>
        <a:ln w="9525">
          <a:noFill/>
          <a:miter lim="800000"/>
          <a:headEnd/>
          <a:tailEnd/>
        </a:ln>
      </xdr:spPr>
    </xdr:sp>
    <xdr:clientData/>
  </xdr:oneCellAnchor>
  <xdr:oneCellAnchor>
    <xdr:from>
      <xdr:col>16</xdr:col>
      <xdr:colOff>85725</xdr:colOff>
      <xdr:row>316</xdr:row>
      <xdr:rowOff>0</xdr:rowOff>
    </xdr:from>
    <xdr:ext cx="104775" cy="224896"/>
    <xdr:sp macro="" textlink="">
      <xdr:nvSpPr>
        <xdr:cNvPr id="35" name="Text Box 56">
          <a:extLst>
            <a:ext uri="{FF2B5EF4-FFF2-40B4-BE49-F238E27FC236}">
              <a16:creationId xmlns:a16="http://schemas.microsoft.com/office/drawing/2014/main" id="{B3E7F9E9-893B-4900-8CD4-24F0A08E3851}"/>
            </a:ext>
          </a:extLst>
        </xdr:cNvPr>
        <xdr:cNvSpPr txBox="1">
          <a:spLocks noChangeArrowheads="1"/>
        </xdr:cNvSpPr>
      </xdr:nvSpPr>
      <xdr:spPr bwMode="auto">
        <a:xfrm>
          <a:off x="8839200" y="93335475"/>
          <a:ext cx="104775" cy="224896"/>
        </a:xfrm>
        <a:prstGeom prst="rect">
          <a:avLst/>
        </a:prstGeom>
        <a:noFill/>
        <a:ln w="9525">
          <a:noFill/>
          <a:miter lim="800000"/>
          <a:headEnd/>
          <a:tailEnd/>
        </a:ln>
      </xdr:spPr>
    </xdr:sp>
    <xdr:clientData/>
  </xdr:oneCellAnchor>
  <xdr:oneCellAnchor>
    <xdr:from>
      <xdr:col>16</xdr:col>
      <xdr:colOff>85725</xdr:colOff>
      <xdr:row>315</xdr:row>
      <xdr:rowOff>0</xdr:rowOff>
    </xdr:from>
    <xdr:ext cx="104775" cy="215370"/>
    <xdr:sp macro="" textlink="">
      <xdr:nvSpPr>
        <xdr:cNvPr id="36" name="Text Box 57">
          <a:extLst>
            <a:ext uri="{FF2B5EF4-FFF2-40B4-BE49-F238E27FC236}">
              <a16:creationId xmlns:a16="http://schemas.microsoft.com/office/drawing/2014/main" id="{EC3D120C-EE70-4912-B7F6-DD677F932B13}"/>
            </a:ext>
          </a:extLst>
        </xdr:cNvPr>
        <xdr:cNvSpPr txBox="1">
          <a:spLocks noChangeArrowheads="1"/>
        </xdr:cNvSpPr>
      </xdr:nvSpPr>
      <xdr:spPr bwMode="auto">
        <a:xfrm>
          <a:off x="8839200" y="93125925"/>
          <a:ext cx="104775" cy="215370"/>
        </a:xfrm>
        <a:prstGeom prst="rect">
          <a:avLst/>
        </a:prstGeom>
        <a:noFill/>
        <a:ln w="9525">
          <a:noFill/>
          <a:miter lim="800000"/>
          <a:headEnd/>
          <a:tailEnd/>
        </a:ln>
      </xdr:spPr>
    </xdr:sp>
    <xdr:clientData/>
  </xdr:oneCellAnchor>
  <xdr:oneCellAnchor>
    <xdr:from>
      <xdr:col>16</xdr:col>
      <xdr:colOff>85725</xdr:colOff>
      <xdr:row>315</xdr:row>
      <xdr:rowOff>0</xdr:rowOff>
    </xdr:from>
    <xdr:ext cx="104775" cy="215370"/>
    <xdr:sp macro="" textlink="">
      <xdr:nvSpPr>
        <xdr:cNvPr id="37" name="Text Box 58">
          <a:extLst>
            <a:ext uri="{FF2B5EF4-FFF2-40B4-BE49-F238E27FC236}">
              <a16:creationId xmlns:a16="http://schemas.microsoft.com/office/drawing/2014/main" id="{0A66A453-D52A-4481-8F18-073B98439E91}"/>
            </a:ext>
          </a:extLst>
        </xdr:cNvPr>
        <xdr:cNvSpPr txBox="1">
          <a:spLocks noChangeArrowheads="1"/>
        </xdr:cNvSpPr>
      </xdr:nvSpPr>
      <xdr:spPr bwMode="auto">
        <a:xfrm>
          <a:off x="8839200" y="93125925"/>
          <a:ext cx="104775" cy="215370"/>
        </a:xfrm>
        <a:prstGeom prst="rect">
          <a:avLst/>
        </a:prstGeom>
        <a:noFill/>
        <a:ln w="9525">
          <a:noFill/>
          <a:miter lim="800000"/>
          <a:headEnd/>
          <a:tailEnd/>
        </a:ln>
      </xdr:spPr>
    </xdr:sp>
    <xdr:clientData/>
  </xdr:oneCellAnchor>
  <xdr:oneCellAnchor>
    <xdr:from>
      <xdr:col>16</xdr:col>
      <xdr:colOff>85725</xdr:colOff>
      <xdr:row>265</xdr:row>
      <xdr:rowOff>0</xdr:rowOff>
    </xdr:from>
    <xdr:ext cx="104775" cy="224896"/>
    <xdr:sp macro="" textlink="">
      <xdr:nvSpPr>
        <xdr:cNvPr id="38" name="Text Box 59">
          <a:extLst>
            <a:ext uri="{FF2B5EF4-FFF2-40B4-BE49-F238E27FC236}">
              <a16:creationId xmlns:a16="http://schemas.microsoft.com/office/drawing/2014/main" id="{BF323658-0A30-40B7-9974-96CD6510CC77}"/>
            </a:ext>
          </a:extLst>
        </xdr:cNvPr>
        <xdr:cNvSpPr txBox="1">
          <a:spLocks noChangeArrowheads="1"/>
        </xdr:cNvSpPr>
      </xdr:nvSpPr>
      <xdr:spPr bwMode="auto">
        <a:xfrm>
          <a:off x="8839200" y="82629375"/>
          <a:ext cx="104775" cy="224896"/>
        </a:xfrm>
        <a:prstGeom prst="rect">
          <a:avLst/>
        </a:prstGeom>
        <a:noFill/>
        <a:ln w="9525">
          <a:noFill/>
          <a:miter lim="800000"/>
          <a:headEnd/>
          <a:tailEnd/>
        </a:ln>
      </xdr:spPr>
    </xdr:sp>
    <xdr:clientData/>
  </xdr:oneCellAnchor>
  <xdr:twoCellAnchor>
    <xdr:from>
      <xdr:col>18</xdr:col>
      <xdr:colOff>595313</xdr:colOff>
      <xdr:row>4</xdr:row>
      <xdr:rowOff>190500</xdr:rowOff>
    </xdr:from>
    <xdr:to>
      <xdr:col>18</xdr:col>
      <xdr:colOff>761999</xdr:colOff>
      <xdr:row>4</xdr:row>
      <xdr:rowOff>359833</xdr:rowOff>
    </xdr:to>
    <xdr:sp macro="" textlink="">
      <xdr:nvSpPr>
        <xdr:cNvPr id="39" name="Oval 63">
          <a:extLst>
            <a:ext uri="{FF2B5EF4-FFF2-40B4-BE49-F238E27FC236}">
              <a16:creationId xmlns:a16="http://schemas.microsoft.com/office/drawing/2014/main" id="{893C7B7B-EC21-4EDA-B4B5-448E13638481}"/>
            </a:ext>
          </a:extLst>
        </xdr:cNvPr>
        <xdr:cNvSpPr>
          <a:spLocks noChangeArrowheads="1"/>
        </xdr:cNvSpPr>
      </xdr:nvSpPr>
      <xdr:spPr bwMode="auto">
        <a:xfrm>
          <a:off x="10996613" y="1333500"/>
          <a:ext cx="166686" cy="169333"/>
        </a:xfrm>
        <a:prstGeom prst="ellipse">
          <a:avLst/>
        </a:prstGeom>
        <a:noFill/>
        <a:ln w="9525">
          <a:solidFill>
            <a:srgbClr val="000000"/>
          </a:solidFill>
          <a:round/>
          <a:headEnd/>
          <a:tailEnd/>
        </a:ln>
      </xdr:spPr>
      <xdr:txBody>
        <a:bodyPr vertOverflow="clip" wrap="square" lIns="0" tIns="0" rIns="0" bIns="0" anchor="ctr" anchorCtr="0" upright="1"/>
        <a:lstStyle/>
        <a:p>
          <a:pPr algn="ctr" rtl="0">
            <a:defRPr sz="1000"/>
          </a:pPr>
          <a:r>
            <a:rPr lang="ja-JP" altLang="en-US" sz="1000" b="1" i="0" u="none" strike="noStrike" baseline="0">
              <a:solidFill>
                <a:srgbClr val="000000"/>
              </a:solidFill>
              <a:latin typeface="ＭＳ Ｐゴシック"/>
              <a:ea typeface="ＭＳ Ｐゴシック"/>
            </a:rPr>
            <a:t>B</a:t>
          </a:r>
        </a:p>
      </xdr:txBody>
    </xdr:sp>
    <xdr:clientData/>
  </xdr:twoCellAnchor>
  <xdr:oneCellAnchor>
    <xdr:from>
      <xdr:col>16</xdr:col>
      <xdr:colOff>85725</xdr:colOff>
      <xdr:row>314</xdr:row>
      <xdr:rowOff>0</xdr:rowOff>
    </xdr:from>
    <xdr:ext cx="104775" cy="224896"/>
    <xdr:sp macro="" textlink="">
      <xdr:nvSpPr>
        <xdr:cNvPr id="40" name="Text Box 64">
          <a:extLst>
            <a:ext uri="{FF2B5EF4-FFF2-40B4-BE49-F238E27FC236}">
              <a16:creationId xmlns:a16="http://schemas.microsoft.com/office/drawing/2014/main" id="{8737CCDB-1FAA-4E63-B80B-48E527E28813}"/>
            </a:ext>
          </a:extLst>
        </xdr:cNvPr>
        <xdr:cNvSpPr txBox="1">
          <a:spLocks noChangeArrowheads="1"/>
        </xdr:cNvSpPr>
      </xdr:nvSpPr>
      <xdr:spPr bwMode="auto">
        <a:xfrm>
          <a:off x="8839200" y="92916375"/>
          <a:ext cx="104775" cy="224896"/>
        </a:xfrm>
        <a:prstGeom prst="rect">
          <a:avLst/>
        </a:prstGeom>
        <a:noFill/>
        <a:ln w="9525">
          <a:noFill/>
          <a:miter lim="800000"/>
          <a:headEnd/>
          <a:tailEnd/>
        </a:ln>
      </xdr:spPr>
    </xdr:sp>
    <xdr:clientData/>
  </xdr:oneCellAnchor>
  <xdr:oneCellAnchor>
    <xdr:from>
      <xdr:col>16</xdr:col>
      <xdr:colOff>85725</xdr:colOff>
      <xdr:row>314</xdr:row>
      <xdr:rowOff>0</xdr:rowOff>
    </xdr:from>
    <xdr:ext cx="104775" cy="224896"/>
    <xdr:sp macro="" textlink="">
      <xdr:nvSpPr>
        <xdr:cNvPr id="41" name="Text Box 65">
          <a:extLst>
            <a:ext uri="{FF2B5EF4-FFF2-40B4-BE49-F238E27FC236}">
              <a16:creationId xmlns:a16="http://schemas.microsoft.com/office/drawing/2014/main" id="{C91B8413-CDC3-42E4-B7A1-EFC565867689}"/>
            </a:ext>
          </a:extLst>
        </xdr:cNvPr>
        <xdr:cNvSpPr txBox="1">
          <a:spLocks noChangeArrowheads="1"/>
        </xdr:cNvSpPr>
      </xdr:nvSpPr>
      <xdr:spPr bwMode="auto">
        <a:xfrm>
          <a:off x="8839200" y="92916375"/>
          <a:ext cx="104775" cy="224896"/>
        </a:xfrm>
        <a:prstGeom prst="rect">
          <a:avLst/>
        </a:prstGeom>
        <a:noFill/>
        <a:ln w="9525">
          <a:noFill/>
          <a:miter lim="800000"/>
          <a:headEnd/>
          <a:tailEnd/>
        </a:ln>
      </xdr:spPr>
    </xdr:sp>
    <xdr:clientData/>
  </xdr:oneCellAnchor>
  <xdr:oneCellAnchor>
    <xdr:from>
      <xdr:col>16</xdr:col>
      <xdr:colOff>85725</xdr:colOff>
      <xdr:row>314</xdr:row>
      <xdr:rowOff>0</xdr:rowOff>
    </xdr:from>
    <xdr:ext cx="104775" cy="224896"/>
    <xdr:sp macro="" textlink="">
      <xdr:nvSpPr>
        <xdr:cNvPr id="42" name="Text Box 66">
          <a:extLst>
            <a:ext uri="{FF2B5EF4-FFF2-40B4-BE49-F238E27FC236}">
              <a16:creationId xmlns:a16="http://schemas.microsoft.com/office/drawing/2014/main" id="{D0F60EF4-898B-4BAA-9FCD-38F0C461B2B0}"/>
            </a:ext>
          </a:extLst>
        </xdr:cNvPr>
        <xdr:cNvSpPr txBox="1">
          <a:spLocks noChangeArrowheads="1"/>
        </xdr:cNvSpPr>
      </xdr:nvSpPr>
      <xdr:spPr bwMode="auto">
        <a:xfrm>
          <a:off x="8839200" y="92916375"/>
          <a:ext cx="104775" cy="224896"/>
        </a:xfrm>
        <a:prstGeom prst="rect">
          <a:avLst/>
        </a:prstGeom>
        <a:noFill/>
        <a:ln w="9525">
          <a:noFill/>
          <a:miter lim="800000"/>
          <a:headEnd/>
          <a:tailEnd/>
        </a:ln>
      </xdr:spPr>
    </xdr:sp>
    <xdr:clientData/>
  </xdr:oneCellAnchor>
  <xdr:oneCellAnchor>
    <xdr:from>
      <xdr:col>16</xdr:col>
      <xdr:colOff>85725</xdr:colOff>
      <xdr:row>314</xdr:row>
      <xdr:rowOff>0</xdr:rowOff>
    </xdr:from>
    <xdr:ext cx="104775" cy="224896"/>
    <xdr:sp macro="" textlink="">
      <xdr:nvSpPr>
        <xdr:cNvPr id="43" name="Text Box 67">
          <a:extLst>
            <a:ext uri="{FF2B5EF4-FFF2-40B4-BE49-F238E27FC236}">
              <a16:creationId xmlns:a16="http://schemas.microsoft.com/office/drawing/2014/main" id="{DD0F9AB3-5628-4BBF-A2D4-59EF164E0EE0}"/>
            </a:ext>
          </a:extLst>
        </xdr:cNvPr>
        <xdr:cNvSpPr txBox="1">
          <a:spLocks noChangeArrowheads="1"/>
        </xdr:cNvSpPr>
      </xdr:nvSpPr>
      <xdr:spPr bwMode="auto">
        <a:xfrm>
          <a:off x="8839200" y="92916375"/>
          <a:ext cx="104775" cy="224896"/>
        </a:xfrm>
        <a:prstGeom prst="rect">
          <a:avLst/>
        </a:prstGeom>
        <a:noFill/>
        <a:ln w="9525">
          <a:noFill/>
          <a:miter lim="800000"/>
          <a:headEnd/>
          <a:tailEnd/>
        </a:ln>
      </xdr:spPr>
    </xdr:sp>
    <xdr:clientData/>
  </xdr:oneCellAnchor>
  <xdr:oneCellAnchor>
    <xdr:from>
      <xdr:col>16</xdr:col>
      <xdr:colOff>85725</xdr:colOff>
      <xdr:row>315</xdr:row>
      <xdr:rowOff>0</xdr:rowOff>
    </xdr:from>
    <xdr:ext cx="104775" cy="215370"/>
    <xdr:sp macro="" textlink="">
      <xdr:nvSpPr>
        <xdr:cNvPr id="44" name="Text Box 68">
          <a:extLst>
            <a:ext uri="{FF2B5EF4-FFF2-40B4-BE49-F238E27FC236}">
              <a16:creationId xmlns:a16="http://schemas.microsoft.com/office/drawing/2014/main" id="{C6204855-87BE-403F-BFBA-A193C8EDBA78}"/>
            </a:ext>
          </a:extLst>
        </xdr:cNvPr>
        <xdr:cNvSpPr txBox="1">
          <a:spLocks noChangeArrowheads="1"/>
        </xdr:cNvSpPr>
      </xdr:nvSpPr>
      <xdr:spPr bwMode="auto">
        <a:xfrm>
          <a:off x="8839200" y="93125925"/>
          <a:ext cx="104775" cy="215370"/>
        </a:xfrm>
        <a:prstGeom prst="rect">
          <a:avLst/>
        </a:prstGeom>
        <a:noFill/>
        <a:ln w="9525">
          <a:noFill/>
          <a:miter lim="800000"/>
          <a:headEnd/>
          <a:tailEnd/>
        </a:ln>
      </xdr:spPr>
    </xdr:sp>
    <xdr:clientData/>
  </xdr:oneCellAnchor>
  <xdr:oneCellAnchor>
    <xdr:from>
      <xdr:col>16</xdr:col>
      <xdr:colOff>85725</xdr:colOff>
      <xdr:row>315</xdr:row>
      <xdr:rowOff>0</xdr:rowOff>
    </xdr:from>
    <xdr:ext cx="104775" cy="215370"/>
    <xdr:sp macro="" textlink="">
      <xdr:nvSpPr>
        <xdr:cNvPr id="45" name="Text Box 69">
          <a:extLst>
            <a:ext uri="{FF2B5EF4-FFF2-40B4-BE49-F238E27FC236}">
              <a16:creationId xmlns:a16="http://schemas.microsoft.com/office/drawing/2014/main" id="{AA21D26F-1E90-4413-98C3-1674A8C07519}"/>
            </a:ext>
          </a:extLst>
        </xdr:cNvPr>
        <xdr:cNvSpPr txBox="1">
          <a:spLocks noChangeArrowheads="1"/>
        </xdr:cNvSpPr>
      </xdr:nvSpPr>
      <xdr:spPr bwMode="auto">
        <a:xfrm>
          <a:off x="8839200" y="93125925"/>
          <a:ext cx="104775" cy="215370"/>
        </a:xfrm>
        <a:prstGeom prst="rect">
          <a:avLst/>
        </a:prstGeom>
        <a:noFill/>
        <a:ln w="9525">
          <a:noFill/>
          <a:miter lim="800000"/>
          <a:headEnd/>
          <a:tailEnd/>
        </a:ln>
      </xdr:spPr>
    </xdr:sp>
    <xdr:clientData/>
  </xdr:oneCellAnchor>
  <xdr:oneCellAnchor>
    <xdr:from>
      <xdr:col>16</xdr:col>
      <xdr:colOff>85725</xdr:colOff>
      <xdr:row>315</xdr:row>
      <xdr:rowOff>0</xdr:rowOff>
    </xdr:from>
    <xdr:ext cx="104775" cy="215370"/>
    <xdr:sp macro="" textlink="">
      <xdr:nvSpPr>
        <xdr:cNvPr id="46" name="Text Box 70">
          <a:extLst>
            <a:ext uri="{FF2B5EF4-FFF2-40B4-BE49-F238E27FC236}">
              <a16:creationId xmlns:a16="http://schemas.microsoft.com/office/drawing/2014/main" id="{D3B65E01-0E2E-4AE6-9AA1-5B48131A67D7}"/>
            </a:ext>
          </a:extLst>
        </xdr:cNvPr>
        <xdr:cNvSpPr txBox="1">
          <a:spLocks noChangeArrowheads="1"/>
        </xdr:cNvSpPr>
      </xdr:nvSpPr>
      <xdr:spPr bwMode="auto">
        <a:xfrm>
          <a:off x="8839200" y="93125925"/>
          <a:ext cx="104775" cy="215370"/>
        </a:xfrm>
        <a:prstGeom prst="rect">
          <a:avLst/>
        </a:prstGeom>
        <a:noFill/>
        <a:ln w="9525">
          <a:noFill/>
          <a:miter lim="800000"/>
          <a:headEnd/>
          <a:tailEnd/>
        </a:ln>
      </xdr:spPr>
    </xdr:sp>
    <xdr:clientData/>
  </xdr:oneCellAnchor>
  <xdr:oneCellAnchor>
    <xdr:from>
      <xdr:col>16</xdr:col>
      <xdr:colOff>85725</xdr:colOff>
      <xdr:row>315</xdr:row>
      <xdr:rowOff>0</xdr:rowOff>
    </xdr:from>
    <xdr:ext cx="104775" cy="215370"/>
    <xdr:sp macro="" textlink="">
      <xdr:nvSpPr>
        <xdr:cNvPr id="47" name="Text Box 71">
          <a:extLst>
            <a:ext uri="{FF2B5EF4-FFF2-40B4-BE49-F238E27FC236}">
              <a16:creationId xmlns:a16="http://schemas.microsoft.com/office/drawing/2014/main" id="{822F488E-8D7D-4431-9D9A-4593A973BF56}"/>
            </a:ext>
          </a:extLst>
        </xdr:cNvPr>
        <xdr:cNvSpPr txBox="1">
          <a:spLocks noChangeArrowheads="1"/>
        </xdr:cNvSpPr>
      </xdr:nvSpPr>
      <xdr:spPr bwMode="auto">
        <a:xfrm>
          <a:off x="8839200" y="93125925"/>
          <a:ext cx="104775" cy="215370"/>
        </a:xfrm>
        <a:prstGeom prst="rect">
          <a:avLst/>
        </a:prstGeom>
        <a:noFill/>
        <a:ln w="9525">
          <a:noFill/>
          <a:miter lim="800000"/>
          <a:headEnd/>
          <a:tailEnd/>
        </a:ln>
      </xdr:spPr>
    </xdr:sp>
    <xdr:clientData/>
  </xdr:oneCellAnchor>
  <xdr:oneCellAnchor>
    <xdr:from>
      <xdr:col>16</xdr:col>
      <xdr:colOff>85725</xdr:colOff>
      <xdr:row>267</xdr:row>
      <xdr:rowOff>0</xdr:rowOff>
    </xdr:from>
    <xdr:ext cx="104775" cy="228600"/>
    <xdr:sp macro="" textlink="">
      <xdr:nvSpPr>
        <xdr:cNvPr id="48" name="Text Box 72">
          <a:extLst>
            <a:ext uri="{FF2B5EF4-FFF2-40B4-BE49-F238E27FC236}">
              <a16:creationId xmlns:a16="http://schemas.microsoft.com/office/drawing/2014/main" id="{6962004A-E6F3-479D-8066-83EA8F88EF04}"/>
            </a:ext>
          </a:extLst>
        </xdr:cNvPr>
        <xdr:cNvSpPr txBox="1">
          <a:spLocks noChangeArrowheads="1"/>
        </xdr:cNvSpPr>
      </xdr:nvSpPr>
      <xdr:spPr bwMode="auto">
        <a:xfrm>
          <a:off x="8839200" y="83048475"/>
          <a:ext cx="104775" cy="228600"/>
        </a:xfrm>
        <a:prstGeom prst="rect">
          <a:avLst/>
        </a:prstGeom>
        <a:noFill/>
        <a:ln w="9525">
          <a:noFill/>
          <a:miter lim="800000"/>
          <a:headEnd/>
          <a:tailEnd/>
        </a:ln>
      </xdr:spPr>
    </xdr:sp>
    <xdr:clientData/>
  </xdr:oneCellAnchor>
  <xdr:oneCellAnchor>
    <xdr:from>
      <xdr:col>16</xdr:col>
      <xdr:colOff>85725</xdr:colOff>
      <xdr:row>317</xdr:row>
      <xdr:rowOff>0</xdr:rowOff>
    </xdr:from>
    <xdr:ext cx="104775" cy="224896"/>
    <xdr:sp macro="" textlink="">
      <xdr:nvSpPr>
        <xdr:cNvPr id="49" name="Text Box 73">
          <a:extLst>
            <a:ext uri="{FF2B5EF4-FFF2-40B4-BE49-F238E27FC236}">
              <a16:creationId xmlns:a16="http://schemas.microsoft.com/office/drawing/2014/main" id="{E6900E6D-7AD0-4B7C-91C3-E100DDD4B4C2}"/>
            </a:ext>
          </a:extLst>
        </xdr:cNvPr>
        <xdr:cNvSpPr txBox="1">
          <a:spLocks noChangeArrowheads="1"/>
        </xdr:cNvSpPr>
      </xdr:nvSpPr>
      <xdr:spPr bwMode="auto">
        <a:xfrm>
          <a:off x="8839200" y="93545025"/>
          <a:ext cx="104775" cy="224896"/>
        </a:xfrm>
        <a:prstGeom prst="rect">
          <a:avLst/>
        </a:prstGeom>
        <a:noFill/>
        <a:ln w="9525">
          <a:noFill/>
          <a:miter lim="800000"/>
          <a:headEnd/>
          <a:tailEnd/>
        </a:ln>
      </xdr:spPr>
    </xdr:sp>
    <xdr:clientData/>
  </xdr:oneCellAnchor>
  <xdr:oneCellAnchor>
    <xdr:from>
      <xdr:col>16</xdr:col>
      <xdr:colOff>85725</xdr:colOff>
      <xdr:row>317</xdr:row>
      <xdr:rowOff>0</xdr:rowOff>
    </xdr:from>
    <xdr:ext cx="104775" cy="224896"/>
    <xdr:sp macro="" textlink="">
      <xdr:nvSpPr>
        <xdr:cNvPr id="50" name="Text Box 74">
          <a:extLst>
            <a:ext uri="{FF2B5EF4-FFF2-40B4-BE49-F238E27FC236}">
              <a16:creationId xmlns:a16="http://schemas.microsoft.com/office/drawing/2014/main" id="{CB79ECB3-F9DC-439F-A0D3-D7A4B7CA79C8}"/>
            </a:ext>
          </a:extLst>
        </xdr:cNvPr>
        <xdr:cNvSpPr txBox="1">
          <a:spLocks noChangeArrowheads="1"/>
        </xdr:cNvSpPr>
      </xdr:nvSpPr>
      <xdr:spPr bwMode="auto">
        <a:xfrm>
          <a:off x="8839200" y="93545025"/>
          <a:ext cx="104775" cy="224896"/>
        </a:xfrm>
        <a:prstGeom prst="rect">
          <a:avLst/>
        </a:prstGeom>
        <a:noFill/>
        <a:ln w="9525">
          <a:noFill/>
          <a:miter lim="800000"/>
          <a:headEnd/>
          <a:tailEnd/>
        </a:ln>
      </xdr:spPr>
    </xdr:sp>
    <xdr:clientData/>
  </xdr:oneCellAnchor>
  <xdr:twoCellAnchor>
    <xdr:from>
      <xdr:col>17</xdr:col>
      <xdr:colOff>580761</xdr:colOff>
      <xdr:row>4</xdr:row>
      <xdr:rowOff>187855</xdr:rowOff>
    </xdr:from>
    <xdr:to>
      <xdr:col>17</xdr:col>
      <xdr:colOff>752741</xdr:colOff>
      <xdr:row>4</xdr:row>
      <xdr:rowOff>354013</xdr:rowOff>
    </xdr:to>
    <xdr:sp macro="" textlink="">
      <xdr:nvSpPr>
        <xdr:cNvPr id="51" name="Oval 75">
          <a:extLst>
            <a:ext uri="{FF2B5EF4-FFF2-40B4-BE49-F238E27FC236}">
              <a16:creationId xmlns:a16="http://schemas.microsoft.com/office/drawing/2014/main" id="{B21FBB0A-9952-46D3-A0E9-ADD703671750}"/>
            </a:ext>
          </a:extLst>
        </xdr:cNvPr>
        <xdr:cNvSpPr>
          <a:spLocks noChangeArrowheads="1"/>
        </xdr:cNvSpPr>
      </xdr:nvSpPr>
      <xdr:spPr bwMode="auto">
        <a:xfrm>
          <a:off x="10220061" y="1330855"/>
          <a:ext cx="171980" cy="166158"/>
        </a:xfrm>
        <a:prstGeom prst="ellipse">
          <a:avLst/>
        </a:prstGeom>
        <a:noFill/>
        <a:ln w="9525">
          <a:solidFill>
            <a:srgbClr val="000000"/>
          </a:solidFill>
          <a:round/>
          <a:headEnd/>
          <a:tailEnd/>
        </a:ln>
      </xdr:spPr>
      <xdr:txBody>
        <a:bodyPr vertOverflow="clip" wrap="square" lIns="0" tIns="0" rIns="0" bIns="0" anchor="ctr" anchorCtr="0" upright="1"/>
        <a:lstStyle/>
        <a:p>
          <a:pPr algn="ctr" rtl="0">
            <a:defRPr sz="1000"/>
          </a:pPr>
          <a:r>
            <a:rPr lang="ja-JP" altLang="en-US" sz="1000" b="1" i="0" u="none" strike="noStrike" baseline="0">
              <a:solidFill>
                <a:srgbClr val="000000"/>
              </a:solidFill>
              <a:latin typeface="ＭＳ Ｐゴシック"/>
              <a:ea typeface="ＭＳ Ｐゴシック"/>
            </a:rPr>
            <a:t>A</a:t>
          </a:r>
        </a:p>
      </xdr:txBody>
    </xdr:sp>
    <xdr:clientData/>
  </xdr:twoCellAnchor>
  <xdr:oneCellAnchor>
    <xdr:from>
      <xdr:col>16</xdr:col>
      <xdr:colOff>85725</xdr:colOff>
      <xdr:row>316</xdr:row>
      <xdr:rowOff>0</xdr:rowOff>
    </xdr:from>
    <xdr:ext cx="104775" cy="224896"/>
    <xdr:sp macro="" textlink="">
      <xdr:nvSpPr>
        <xdr:cNvPr id="52" name="Text Box 77">
          <a:extLst>
            <a:ext uri="{FF2B5EF4-FFF2-40B4-BE49-F238E27FC236}">
              <a16:creationId xmlns:a16="http://schemas.microsoft.com/office/drawing/2014/main" id="{7B0B6C93-99E9-40BC-A438-C417FD0AC5C0}"/>
            </a:ext>
          </a:extLst>
        </xdr:cNvPr>
        <xdr:cNvSpPr txBox="1">
          <a:spLocks noChangeArrowheads="1"/>
        </xdr:cNvSpPr>
      </xdr:nvSpPr>
      <xdr:spPr bwMode="auto">
        <a:xfrm>
          <a:off x="8839200" y="93335475"/>
          <a:ext cx="104775" cy="224896"/>
        </a:xfrm>
        <a:prstGeom prst="rect">
          <a:avLst/>
        </a:prstGeom>
        <a:noFill/>
        <a:ln w="9525">
          <a:noFill/>
          <a:miter lim="800000"/>
          <a:headEnd/>
          <a:tailEnd/>
        </a:ln>
      </xdr:spPr>
    </xdr:sp>
    <xdr:clientData/>
  </xdr:oneCellAnchor>
  <xdr:oneCellAnchor>
    <xdr:from>
      <xdr:col>16</xdr:col>
      <xdr:colOff>85725</xdr:colOff>
      <xdr:row>316</xdr:row>
      <xdr:rowOff>0</xdr:rowOff>
    </xdr:from>
    <xdr:ext cx="104775" cy="224896"/>
    <xdr:sp macro="" textlink="">
      <xdr:nvSpPr>
        <xdr:cNvPr id="53" name="Text Box 78">
          <a:extLst>
            <a:ext uri="{FF2B5EF4-FFF2-40B4-BE49-F238E27FC236}">
              <a16:creationId xmlns:a16="http://schemas.microsoft.com/office/drawing/2014/main" id="{5EE0C235-512A-4402-85AA-A3AA3292F079}"/>
            </a:ext>
          </a:extLst>
        </xdr:cNvPr>
        <xdr:cNvSpPr txBox="1">
          <a:spLocks noChangeArrowheads="1"/>
        </xdr:cNvSpPr>
      </xdr:nvSpPr>
      <xdr:spPr bwMode="auto">
        <a:xfrm>
          <a:off x="8839200" y="93335475"/>
          <a:ext cx="104775" cy="224896"/>
        </a:xfrm>
        <a:prstGeom prst="rect">
          <a:avLst/>
        </a:prstGeom>
        <a:noFill/>
        <a:ln w="9525">
          <a:noFill/>
          <a:miter lim="800000"/>
          <a:headEnd/>
          <a:tailEnd/>
        </a:ln>
      </xdr:spPr>
    </xdr:sp>
    <xdr:clientData/>
  </xdr:oneCellAnchor>
  <xdr:oneCellAnchor>
    <xdr:from>
      <xdr:col>16</xdr:col>
      <xdr:colOff>85725</xdr:colOff>
      <xdr:row>316</xdr:row>
      <xdr:rowOff>0</xdr:rowOff>
    </xdr:from>
    <xdr:ext cx="104775" cy="224896"/>
    <xdr:sp macro="" textlink="">
      <xdr:nvSpPr>
        <xdr:cNvPr id="54" name="Text Box 79">
          <a:extLst>
            <a:ext uri="{FF2B5EF4-FFF2-40B4-BE49-F238E27FC236}">
              <a16:creationId xmlns:a16="http://schemas.microsoft.com/office/drawing/2014/main" id="{5C2D9611-1D52-412A-B21E-4F477D39DDB7}"/>
            </a:ext>
          </a:extLst>
        </xdr:cNvPr>
        <xdr:cNvSpPr txBox="1">
          <a:spLocks noChangeArrowheads="1"/>
        </xdr:cNvSpPr>
      </xdr:nvSpPr>
      <xdr:spPr bwMode="auto">
        <a:xfrm>
          <a:off x="8839200" y="93335475"/>
          <a:ext cx="104775" cy="224896"/>
        </a:xfrm>
        <a:prstGeom prst="rect">
          <a:avLst/>
        </a:prstGeom>
        <a:noFill/>
        <a:ln w="9525">
          <a:noFill/>
          <a:miter lim="800000"/>
          <a:headEnd/>
          <a:tailEnd/>
        </a:ln>
      </xdr:spPr>
    </xdr:sp>
    <xdr:clientData/>
  </xdr:oneCellAnchor>
  <xdr:oneCellAnchor>
    <xdr:from>
      <xdr:col>16</xdr:col>
      <xdr:colOff>85725</xdr:colOff>
      <xdr:row>316</xdr:row>
      <xdr:rowOff>0</xdr:rowOff>
    </xdr:from>
    <xdr:ext cx="104775" cy="224896"/>
    <xdr:sp macro="" textlink="">
      <xdr:nvSpPr>
        <xdr:cNvPr id="55" name="Text Box 80">
          <a:extLst>
            <a:ext uri="{FF2B5EF4-FFF2-40B4-BE49-F238E27FC236}">
              <a16:creationId xmlns:a16="http://schemas.microsoft.com/office/drawing/2014/main" id="{30580D8E-D353-413B-8A31-343582623CB0}"/>
            </a:ext>
          </a:extLst>
        </xdr:cNvPr>
        <xdr:cNvSpPr txBox="1">
          <a:spLocks noChangeArrowheads="1"/>
        </xdr:cNvSpPr>
      </xdr:nvSpPr>
      <xdr:spPr bwMode="auto">
        <a:xfrm>
          <a:off x="8839200" y="93335475"/>
          <a:ext cx="104775" cy="224896"/>
        </a:xfrm>
        <a:prstGeom prst="rect">
          <a:avLst/>
        </a:prstGeom>
        <a:noFill/>
        <a:ln w="9525">
          <a:noFill/>
          <a:miter lim="800000"/>
          <a:headEnd/>
          <a:tailEnd/>
        </a:ln>
      </xdr:spPr>
    </xdr:sp>
    <xdr:clientData/>
  </xdr:oneCellAnchor>
  <xdr:oneCellAnchor>
    <xdr:from>
      <xdr:col>16</xdr:col>
      <xdr:colOff>85725</xdr:colOff>
      <xdr:row>315</xdr:row>
      <xdr:rowOff>0</xdr:rowOff>
    </xdr:from>
    <xdr:ext cx="104775" cy="215370"/>
    <xdr:sp macro="" textlink="">
      <xdr:nvSpPr>
        <xdr:cNvPr id="56" name="Text Box 81">
          <a:extLst>
            <a:ext uri="{FF2B5EF4-FFF2-40B4-BE49-F238E27FC236}">
              <a16:creationId xmlns:a16="http://schemas.microsoft.com/office/drawing/2014/main" id="{06E1BEB3-66C0-4A52-92EA-411C38D4ECF7}"/>
            </a:ext>
          </a:extLst>
        </xdr:cNvPr>
        <xdr:cNvSpPr txBox="1">
          <a:spLocks noChangeArrowheads="1"/>
        </xdr:cNvSpPr>
      </xdr:nvSpPr>
      <xdr:spPr bwMode="auto">
        <a:xfrm>
          <a:off x="8839200" y="93125925"/>
          <a:ext cx="104775" cy="215370"/>
        </a:xfrm>
        <a:prstGeom prst="rect">
          <a:avLst/>
        </a:prstGeom>
        <a:noFill/>
        <a:ln w="9525">
          <a:noFill/>
          <a:miter lim="800000"/>
          <a:headEnd/>
          <a:tailEnd/>
        </a:ln>
      </xdr:spPr>
    </xdr:sp>
    <xdr:clientData/>
  </xdr:oneCellAnchor>
  <xdr:oneCellAnchor>
    <xdr:from>
      <xdr:col>16</xdr:col>
      <xdr:colOff>85725</xdr:colOff>
      <xdr:row>315</xdr:row>
      <xdr:rowOff>0</xdr:rowOff>
    </xdr:from>
    <xdr:ext cx="104775" cy="215370"/>
    <xdr:sp macro="" textlink="">
      <xdr:nvSpPr>
        <xdr:cNvPr id="57" name="Text Box 82">
          <a:extLst>
            <a:ext uri="{FF2B5EF4-FFF2-40B4-BE49-F238E27FC236}">
              <a16:creationId xmlns:a16="http://schemas.microsoft.com/office/drawing/2014/main" id="{C70BCF48-2B16-4056-8FD0-6D5CC63B6C7D}"/>
            </a:ext>
          </a:extLst>
        </xdr:cNvPr>
        <xdr:cNvSpPr txBox="1">
          <a:spLocks noChangeArrowheads="1"/>
        </xdr:cNvSpPr>
      </xdr:nvSpPr>
      <xdr:spPr bwMode="auto">
        <a:xfrm>
          <a:off x="8839200" y="93125925"/>
          <a:ext cx="104775" cy="215370"/>
        </a:xfrm>
        <a:prstGeom prst="rect">
          <a:avLst/>
        </a:prstGeom>
        <a:noFill/>
        <a:ln w="9525">
          <a:noFill/>
          <a:miter lim="800000"/>
          <a:headEnd/>
          <a:tailEnd/>
        </a:ln>
      </xdr:spPr>
    </xdr:sp>
    <xdr:clientData/>
  </xdr:oneCellAnchor>
  <xdr:oneCellAnchor>
    <xdr:from>
      <xdr:col>16</xdr:col>
      <xdr:colOff>85725</xdr:colOff>
      <xdr:row>315</xdr:row>
      <xdr:rowOff>0</xdr:rowOff>
    </xdr:from>
    <xdr:ext cx="104775" cy="215370"/>
    <xdr:sp macro="" textlink="">
      <xdr:nvSpPr>
        <xdr:cNvPr id="58" name="Text Box 83">
          <a:extLst>
            <a:ext uri="{FF2B5EF4-FFF2-40B4-BE49-F238E27FC236}">
              <a16:creationId xmlns:a16="http://schemas.microsoft.com/office/drawing/2014/main" id="{3575D133-1A40-4D42-A81A-3C357D015D72}"/>
            </a:ext>
          </a:extLst>
        </xdr:cNvPr>
        <xdr:cNvSpPr txBox="1">
          <a:spLocks noChangeArrowheads="1"/>
        </xdr:cNvSpPr>
      </xdr:nvSpPr>
      <xdr:spPr bwMode="auto">
        <a:xfrm>
          <a:off x="8839200" y="93125925"/>
          <a:ext cx="104775" cy="215370"/>
        </a:xfrm>
        <a:prstGeom prst="rect">
          <a:avLst/>
        </a:prstGeom>
        <a:noFill/>
        <a:ln w="9525">
          <a:noFill/>
          <a:miter lim="800000"/>
          <a:headEnd/>
          <a:tailEnd/>
        </a:ln>
      </xdr:spPr>
    </xdr:sp>
    <xdr:clientData/>
  </xdr:oneCellAnchor>
  <xdr:oneCellAnchor>
    <xdr:from>
      <xdr:col>16</xdr:col>
      <xdr:colOff>85725</xdr:colOff>
      <xdr:row>315</xdr:row>
      <xdr:rowOff>0</xdr:rowOff>
    </xdr:from>
    <xdr:ext cx="104775" cy="215370"/>
    <xdr:sp macro="" textlink="">
      <xdr:nvSpPr>
        <xdr:cNvPr id="59" name="Text Box 84">
          <a:extLst>
            <a:ext uri="{FF2B5EF4-FFF2-40B4-BE49-F238E27FC236}">
              <a16:creationId xmlns:a16="http://schemas.microsoft.com/office/drawing/2014/main" id="{569522DA-565A-456C-8AAF-0C2C47295259}"/>
            </a:ext>
          </a:extLst>
        </xdr:cNvPr>
        <xdr:cNvSpPr txBox="1">
          <a:spLocks noChangeArrowheads="1"/>
        </xdr:cNvSpPr>
      </xdr:nvSpPr>
      <xdr:spPr bwMode="auto">
        <a:xfrm>
          <a:off x="8839200" y="93125925"/>
          <a:ext cx="104775" cy="215370"/>
        </a:xfrm>
        <a:prstGeom prst="rect">
          <a:avLst/>
        </a:prstGeom>
        <a:noFill/>
        <a:ln w="9525">
          <a:noFill/>
          <a:miter lim="800000"/>
          <a:headEnd/>
          <a:tailEnd/>
        </a:ln>
      </xdr:spPr>
    </xdr:sp>
    <xdr:clientData/>
  </xdr:oneCellAnchor>
  <xdr:oneCellAnchor>
    <xdr:from>
      <xdr:col>16</xdr:col>
      <xdr:colOff>85725</xdr:colOff>
      <xdr:row>314</xdr:row>
      <xdr:rowOff>0</xdr:rowOff>
    </xdr:from>
    <xdr:ext cx="104775" cy="215370"/>
    <xdr:sp macro="" textlink="">
      <xdr:nvSpPr>
        <xdr:cNvPr id="60" name="Text Box 90">
          <a:extLst>
            <a:ext uri="{FF2B5EF4-FFF2-40B4-BE49-F238E27FC236}">
              <a16:creationId xmlns:a16="http://schemas.microsoft.com/office/drawing/2014/main" id="{E284FE65-4899-466B-B774-65354B9F1C12}"/>
            </a:ext>
          </a:extLst>
        </xdr:cNvPr>
        <xdr:cNvSpPr txBox="1">
          <a:spLocks noChangeArrowheads="1"/>
        </xdr:cNvSpPr>
      </xdr:nvSpPr>
      <xdr:spPr bwMode="auto">
        <a:xfrm>
          <a:off x="8839200" y="92916375"/>
          <a:ext cx="104775" cy="215370"/>
        </a:xfrm>
        <a:prstGeom prst="rect">
          <a:avLst/>
        </a:prstGeom>
        <a:noFill/>
        <a:ln w="9525">
          <a:noFill/>
          <a:miter lim="800000"/>
          <a:headEnd/>
          <a:tailEnd/>
        </a:ln>
      </xdr:spPr>
    </xdr:sp>
    <xdr:clientData/>
  </xdr:oneCellAnchor>
  <xdr:oneCellAnchor>
    <xdr:from>
      <xdr:col>16</xdr:col>
      <xdr:colOff>85725</xdr:colOff>
      <xdr:row>314</xdr:row>
      <xdr:rowOff>0</xdr:rowOff>
    </xdr:from>
    <xdr:ext cx="104775" cy="215370"/>
    <xdr:sp macro="" textlink="">
      <xdr:nvSpPr>
        <xdr:cNvPr id="61" name="Text Box 91">
          <a:extLst>
            <a:ext uri="{FF2B5EF4-FFF2-40B4-BE49-F238E27FC236}">
              <a16:creationId xmlns:a16="http://schemas.microsoft.com/office/drawing/2014/main" id="{8EEA2D8E-10FA-4D14-854B-871FBE67454E}"/>
            </a:ext>
          </a:extLst>
        </xdr:cNvPr>
        <xdr:cNvSpPr txBox="1">
          <a:spLocks noChangeArrowheads="1"/>
        </xdr:cNvSpPr>
      </xdr:nvSpPr>
      <xdr:spPr bwMode="auto">
        <a:xfrm>
          <a:off x="8839200" y="92916375"/>
          <a:ext cx="104775" cy="215370"/>
        </a:xfrm>
        <a:prstGeom prst="rect">
          <a:avLst/>
        </a:prstGeom>
        <a:noFill/>
        <a:ln w="9525">
          <a:noFill/>
          <a:miter lim="800000"/>
          <a:headEnd/>
          <a:tailEnd/>
        </a:ln>
      </xdr:spPr>
    </xdr:sp>
    <xdr:clientData/>
  </xdr:oneCellAnchor>
  <xdr:oneCellAnchor>
    <xdr:from>
      <xdr:col>16</xdr:col>
      <xdr:colOff>85725</xdr:colOff>
      <xdr:row>314</xdr:row>
      <xdr:rowOff>0</xdr:rowOff>
    </xdr:from>
    <xdr:ext cx="104775" cy="215370"/>
    <xdr:sp macro="" textlink="">
      <xdr:nvSpPr>
        <xdr:cNvPr id="62" name="Text Box 92">
          <a:extLst>
            <a:ext uri="{FF2B5EF4-FFF2-40B4-BE49-F238E27FC236}">
              <a16:creationId xmlns:a16="http://schemas.microsoft.com/office/drawing/2014/main" id="{54D188CE-0AEC-4F2E-90A2-EDF4EC1C80BD}"/>
            </a:ext>
          </a:extLst>
        </xdr:cNvPr>
        <xdr:cNvSpPr txBox="1">
          <a:spLocks noChangeArrowheads="1"/>
        </xdr:cNvSpPr>
      </xdr:nvSpPr>
      <xdr:spPr bwMode="auto">
        <a:xfrm>
          <a:off x="8839200" y="92916375"/>
          <a:ext cx="104775" cy="215370"/>
        </a:xfrm>
        <a:prstGeom prst="rect">
          <a:avLst/>
        </a:prstGeom>
        <a:noFill/>
        <a:ln w="9525">
          <a:noFill/>
          <a:miter lim="800000"/>
          <a:headEnd/>
          <a:tailEnd/>
        </a:ln>
      </xdr:spPr>
    </xdr:sp>
    <xdr:clientData/>
  </xdr:oneCellAnchor>
  <xdr:oneCellAnchor>
    <xdr:from>
      <xdr:col>16</xdr:col>
      <xdr:colOff>85725</xdr:colOff>
      <xdr:row>314</xdr:row>
      <xdr:rowOff>0</xdr:rowOff>
    </xdr:from>
    <xdr:ext cx="104775" cy="215370"/>
    <xdr:sp macro="" textlink="">
      <xdr:nvSpPr>
        <xdr:cNvPr id="63" name="Text Box 93">
          <a:extLst>
            <a:ext uri="{FF2B5EF4-FFF2-40B4-BE49-F238E27FC236}">
              <a16:creationId xmlns:a16="http://schemas.microsoft.com/office/drawing/2014/main" id="{5B877749-FE81-4753-AAAA-0B16D4862A97}"/>
            </a:ext>
          </a:extLst>
        </xdr:cNvPr>
        <xdr:cNvSpPr txBox="1">
          <a:spLocks noChangeArrowheads="1"/>
        </xdr:cNvSpPr>
      </xdr:nvSpPr>
      <xdr:spPr bwMode="auto">
        <a:xfrm>
          <a:off x="8839200" y="92916375"/>
          <a:ext cx="104775" cy="215370"/>
        </a:xfrm>
        <a:prstGeom prst="rect">
          <a:avLst/>
        </a:prstGeom>
        <a:noFill/>
        <a:ln w="9525">
          <a:noFill/>
          <a:miter lim="800000"/>
          <a:headEnd/>
          <a:tailEnd/>
        </a:ln>
      </xdr:spPr>
    </xdr:sp>
    <xdr:clientData/>
  </xdr:oneCellAnchor>
  <xdr:oneCellAnchor>
    <xdr:from>
      <xdr:col>16</xdr:col>
      <xdr:colOff>85725</xdr:colOff>
      <xdr:row>314</xdr:row>
      <xdr:rowOff>0</xdr:rowOff>
    </xdr:from>
    <xdr:ext cx="104775" cy="215370"/>
    <xdr:sp macro="" textlink="">
      <xdr:nvSpPr>
        <xdr:cNvPr id="64" name="Text Box 94">
          <a:extLst>
            <a:ext uri="{FF2B5EF4-FFF2-40B4-BE49-F238E27FC236}">
              <a16:creationId xmlns:a16="http://schemas.microsoft.com/office/drawing/2014/main" id="{A7E51ADC-A92B-4675-A971-AC93379D724E}"/>
            </a:ext>
          </a:extLst>
        </xdr:cNvPr>
        <xdr:cNvSpPr txBox="1">
          <a:spLocks noChangeArrowheads="1"/>
        </xdr:cNvSpPr>
      </xdr:nvSpPr>
      <xdr:spPr bwMode="auto">
        <a:xfrm>
          <a:off x="8839200" y="92916375"/>
          <a:ext cx="104775" cy="215370"/>
        </a:xfrm>
        <a:prstGeom prst="rect">
          <a:avLst/>
        </a:prstGeom>
        <a:noFill/>
        <a:ln w="9525">
          <a:noFill/>
          <a:miter lim="800000"/>
          <a:headEnd/>
          <a:tailEnd/>
        </a:ln>
      </xdr:spPr>
    </xdr:sp>
    <xdr:clientData/>
  </xdr:oneCellAnchor>
  <xdr:oneCellAnchor>
    <xdr:from>
      <xdr:col>16</xdr:col>
      <xdr:colOff>85725</xdr:colOff>
      <xdr:row>314</xdr:row>
      <xdr:rowOff>0</xdr:rowOff>
    </xdr:from>
    <xdr:ext cx="104775" cy="215370"/>
    <xdr:sp macro="" textlink="">
      <xdr:nvSpPr>
        <xdr:cNvPr id="65" name="Text Box 95">
          <a:extLst>
            <a:ext uri="{FF2B5EF4-FFF2-40B4-BE49-F238E27FC236}">
              <a16:creationId xmlns:a16="http://schemas.microsoft.com/office/drawing/2014/main" id="{AD79D38D-E227-4F60-8DBA-03E1DAC86ECE}"/>
            </a:ext>
          </a:extLst>
        </xdr:cNvPr>
        <xdr:cNvSpPr txBox="1">
          <a:spLocks noChangeArrowheads="1"/>
        </xdr:cNvSpPr>
      </xdr:nvSpPr>
      <xdr:spPr bwMode="auto">
        <a:xfrm>
          <a:off x="8839200" y="92916375"/>
          <a:ext cx="104775" cy="215370"/>
        </a:xfrm>
        <a:prstGeom prst="rect">
          <a:avLst/>
        </a:prstGeom>
        <a:noFill/>
        <a:ln w="9525">
          <a:noFill/>
          <a:miter lim="800000"/>
          <a:headEnd/>
          <a:tailEnd/>
        </a:ln>
      </xdr:spPr>
    </xdr:sp>
    <xdr:clientData/>
  </xdr:oneCellAnchor>
  <xdr:oneCellAnchor>
    <xdr:from>
      <xdr:col>16</xdr:col>
      <xdr:colOff>85725</xdr:colOff>
      <xdr:row>314</xdr:row>
      <xdr:rowOff>0</xdr:rowOff>
    </xdr:from>
    <xdr:ext cx="104775" cy="215370"/>
    <xdr:sp macro="" textlink="">
      <xdr:nvSpPr>
        <xdr:cNvPr id="66" name="Text Box 96">
          <a:extLst>
            <a:ext uri="{FF2B5EF4-FFF2-40B4-BE49-F238E27FC236}">
              <a16:creationId xmlns:a16="http://schemas.microsoft.com/office/drawing/2014/main" id="{910FFB4B-CF8E-4BB3-BD33-77AD5990E188}"/>
            </a:ext>
          </a:extLst>
        </xdr:cNvPr>
        <xdr:cNvSpPr txBox="1">
          <a:spLocks noChangeArrowheads="1"/>
        </xdr:cNvSpPr>
      </xdr:nvSpPr>
      <xdr:spPr bwMode="auto">
        <a:xfrm>
          <a:off x="8839200" y="92916375"/>
          <a:ext cx="104775" cy="215370"/>
        </a:xfrm>
        <a:prstGeom prst="rect">
          <a:avLst/>
        </a:prstGeom>
        <a:noFill/>
        <a:ln w="9525">
          <a:noFill/>
          <a:miter lim="800000"/>
          <a:headEnd/>
          <a:tailEnd/>
        </a:ln>
      </xdr:spPr>
    </xdr:sp>
    <xdr:clientData/>
  </xdr:oneCellAnchor>
  <xdr:oneCellAnchor>
    <xdr:from>
      <xdr:col>16</xdr:col>
      <xdr:colOff>85725</xdr:colOff>
      <xdr:row>314</xdr:row>
      <xdr:rowOff>0</xdr:rowOff>
    </xdr:from>
    <xdr:ext cx="104775" cy="215370"/>
    <xdr:sp macro="" textlink="">
      <xdr:nvSpPr>
        <xdr:cNvPr id="67" name="Text Box 97">
          <a:extLst>
            <a:ext uri="{FF2B5EF4-FFF2-40B4-BE49-F238E27FC236}">
              <a16:creationId xmlns:a16="http://schemas.microsoft.com/office/drawing/2014/main" id="{95688948-384A-4BB3-A48A-451A66618DD6}"/>
            </a:ext>
          </a:extLst>
        </xdr:cNvPr>
        <xdr:cNvSpPr txBox="1">
          <a:spLocks noChangeArrowheads="1"/>
        </xdr:cNvSpPr>
      </xdr:nvSpPr>
      <xdr:spPr bwMode="auto">
        <a:xfrm>
          <a:off x="8839200" y="92916375"/>
          <a:ext cx="104775" cy="215370"/>
        </a:xfrm>
        <a:prstGeom prst="rect">
          <a:avLst/>
        </a:prstGeom>
        <a:noFill/>
        <a:ln w="9525">
          <a:noFill/>
          <a:miter lim="800000"/>
          <a:headEnd/>
          <a:tailEnd/>
        </a:ln>
      </xdr:spPr>
    </xdr:sp>
    <xdr:clientData/>
  </xdr:oneCellAnchor>
  <xdr:oneCellAnchor>
    <xdr:from>
      <xdr:col>16</xdr:col>
      <xdr:colOff>85725</xdr:colOff>
      <xdr:row>314</xdr:row>
      <xdr:rowOff>0</xdr:rowOff>
    </xdr:from>
    <xdr:ext cx="104775" cy="215370"/>
    <xdr:sp macro="" textlink="">
      <xdr:nvSpPr>
        <xdr:cNvPr id="68" name="Text Box 98">
          <a:extLst>
            <a:ext uri="{FF2B5EF4-FFF2-40B4-BE49-F238E27FC236}">
              <a16:creationId xmlns:a16="http://schemas.microsoft.com/office/drawing/2014/main" id="{0DB200BB-CF4C-42F7-B50C-FDBEABF4C22D}"/>
            </a:ext>
          </a:extLst>
        </xdr:cNvPr>
        <xdr:cNvSpPr txBox="1">
          <a:spLocks noChangeArrowheads="1"/>
        </xdr:cNvSpPr>
      </xdr:nvSpPr>
      <xdr:spPr bwMode="auto">
        <a:xfrm>
          <a:off x="8839200" y="92916375"/>
          <a:ext cx="104775" cy="215370"/>
        </a:xfrm>
        <a:prstGeom prst="rect">
          <a:avLst/>
        </a:prstGeom>
        <a:noFill/>
        <a:ln w="9525">
          <a:noFill/>
          <a:miter lim="800000"/>
          <a:headEnd/>
          <a:tailEnd/>
        </a:ln>
      </xdr:spPr>
    </xdr:sp>
    <xdr:clientData/>
  </xdr:oneCellAnchor>
  <xdr:oneCellAnchor>
    <xdr:from>
      <xdr:col>16</xdr:col>
      <xdr:colOff>85725</xdr:colOff>
      <xdr:row>314</xdr:row>
      <xdr:rowOff>0</xdr:rowOff>
    </xdr:from>
    <xdr:ext cx="104775" cy="215370"/>
    <xdr:sp macro="" textlink="">
      <xdr:nvSpPr>
        <xdr:cNvPr id="69" name="Text Box 99">
          <a:extLst>
            <a:ext uri="{FF2B5EF4-FFF2-40B4-BE49-F238E27FC236}">
              <a16:creationId xmlns:a16="http://schemas.microsoft.com/office/drawing/2014/main" id="{469BC3BD-401B-4E60-BE4C-288AE8FA042F}"/>
            </a:ext>
          </a:extLst>
        </xdr:cNvPr>
        <xdr:cNvSpPr txBox="1">
          <a:spLocks noChangeArrowheads="1"/>
        </xdr:cNvSpPr>
      </xdr:nvSpPr>
      <xdr:spPr bwMode="auto">
        <a:xfrm>
          <a:off x="8839200" y="92916375"/>
          <a:ext cx="104775" cy="215370"/>
        </a:xfrm>
        <a:prstGeom prst="rect">
          <a:avLst/>
        </a:prstGeom>
        <a:noFill/>
        <a:ln w="9525">
          <a:noFill/>
          <a:miter lim="800000"/>
          <a:headEnd/>
          <a:tailEnd/>
        </a:ln>
      </xdr:spPr>
    </xdr:sp>
    <xdr:clientData/>
  </xdr:oneCellAnchor>
  <xdr:oneCellAnchor>
    <xdr:from>
      <xdr:col>16</xdr:col>
      <xdr:colOff>85725</xdr:colOff>
      <xdr:row>318</xdr:row>
      <xdr:rowOff>0</xdr:rowOff>
    </xdr:from>
    <xdr:ext cx="104775" cy="215370"/>
    <xdr:sp macro="" textlink="">
      <xdr:nvSpPr>
        <xdr:cNvPr id="70" name="Text Box 100">
          <a:extLst>
            <a:ext uri="{FF2B5EF4-FFF2-40B4-BE49-F238E27FC236}">
              <a16:creationId xmlns:a16="http://schemas.microsoft.com/office/drawing/2014/main" id="{E8AA701E-0A20-48E5-98BB-FE49D85F34E1}"/>
            </a:ext>
          </a:extLst>
        </xdr:cNvPr>
        <xdr:cNvSpPr txBox="1">
          <a:spLocks noChangeArrowheads="1"/>
        </xdr:cNvSpPr>
      </xdr:nvSpPr>
      <xdr:spPr bwMode="auto">
        <a:xfrm>
          <a:off x="8839200" y="93754575"/>
          <a:ext cx="104775" cy="215370"/>
        </a:xfrm>
        <a:prstGeom prst="rect">
          <a:avLst/>
        </a:prstGeom>
        <a:noFill/>
        <a:ln w="9525">
          <a:noFill/>
          <a:miter lim="800000"/>
          <a:headEnd/>
          <a:tailEnd/>
        </a:ln>
      </xdr:spPr>
    </xdr:sp>
    <xdr:clientData/>
  </xdr:oneCellAnchor>
  <xdr:oneCellAnchor>
    <xdr:from>
      <xdr:col>16</xdr:col>
      <xdr:colOff>85725</xdr:colOff>
      <xdr:row>318</xdr:row>
      <xdr:rowOff>0</xdr:rowOff>
    </xdr:from>
    <xdr:ext cx="104775" cy="215370"/>
    <xdr:sp macro="" textlink="">
      <xdr:nvSpPr>
        <xdr:cNvPr id="71" name="Text Box 101">
          <a:extLst>
            <a:ext uri="{FF2B5EF4-FFF2-40B4-BE49-F238E27FC236}">
              <a16:creationId xmlns:a16="http://schemas.microsoft.com/office/drawing/2014/main" id="{A5CE8982-B2D7-4459-8DF1-9AEFA112E236}"/>
            </a:ext>
          </a:extLst>
        </xdr:cNvPr>
        <xdr:cNvSpPr txBox="1">
          <a:spLocks noChangeArrowheads="1"/>
        </xdr:cNvSpPr>
      </xdr:nvSpPr>
      <xdr:spPr bwMode="auto">
        <a:xfrm>
          <a:off x="8839200" y="93754575"/>
          <a:ext cx="104775" cy="215370"/>
        </a:xfrm>
        <a:prstGeom prst="rect">
          <a:avLst/>
        </a:prstGeom>
        <a:noFill/>
        <a:ln w="9525">
          <a:noFill/>
          <a:miter lim="800000"/>
          <a:headEnd/>
          <a:tailEnd/>
        </a:ln>
      </xdr:spPr>
    </xdr:sp>
    <xdr:clientData/>
  </xdr:oneCellAnchor>
  <xdr:oneCellAnchor>
    <xdr:from>
      <xdr:col>16</xdr:col>
      <xdr:colOff>85725</xdr:colOff>
      <xdr:row>313</xdr:row>
      <xdr:rowOff>0</xdr:rowOff>
    </xdr:from>
    <xdr:ext cx="104775" cy="224895"/>
    <xdr:sp macro="" textlink="">
      <xdr:nvSpPr>
        <xdr:cNvPr id="72" name="Text Box 90">
          <a:extLst>
            <a:ext uri="{FF2B5EF4-FFF2-40B4-BE49-F238E27FC236}">
              <a16:creationId xmlns:a16="http://schemas.microsoft.com/office/drawing/2014/main" id="{5163FC24-7DA8-4D8C-AA05-62D5DFA61370}"/>
            </a:ext>
          </a:extLst>
        </xdr:cNvPr>
        <xdr:cNvSpPr txBox="1">
          <a:spLocks noChangeArrowheads="1"/>
        </xdr:cNvSpPr>
      </xdr:nvSpPr>
      <xdr:spPr bwMode="auto">
        <a:xfrm>
          <a:off x="8839200" y="92706825"/>
          <a:ext cx="104775" cy="224895"/>
        </a:xfrm>
        <a:prstGeom prst="rect">
          <a:avLst/>
        </a:prstGeom>
        <a:noFill/>
        <a:ln w="9525">
          <a:noFill/>
          <a:miter lim="800000"/>
          <a:headEnd/>
          <a:tailEnd/>
        </a:ln>
      </xdr:spPr>
    </xdr:sp>
    <xdr:clientData/>
  </xdr:oneCellAnchor>
  <xdr:oneCellAnchor>
    <xdr:from>
      <xdr:col>16</xdr:col>
      <xdr:colOff>85725</xdr:colOff>
      <xdr:row>313</xdr:row>
      <xdr:rowOff>0</xdr:rowOff>
    </xdr:from>
    <xdr:ext cx="104775" cy="224895"/>
    <xdr:sp macro="" textlink="">
      <xdr:nvSpPr>
        <xdr:cNvPr id="73" name="Text Box 91">
          <a:extLst>
            <a:ext uri="{FF2B5EF4-FFF2-40B4-BE49-F238E27FC236}">
              <a16:creationId xmlns:a16="http://schemas.microsoft.com/office/drawing/2014/main" id="{1BCC9DA3-745C-4D38-BA4A-4B12CC8C613E}"/>
            </a:ext>
          </a:extLst>
        </xdr:cNvPr>
        <xdr:cNvSpPr txBox="1">
          <a:spLocks noChangeArrowheads="1"/>
        </xdr:cNvSpPr>
      </xdr:nvSpPr>
      <xdr:spPr bwMode="auto">
        <a:xfrm>
          <a:off x="8839200" y="92706825"/>
          <a:ext cx="104775" cy="224895"/>
        </a:xfrm>
        <a:prstGeom prst="rect">
          <a:avLst/>
        </a:prstGeom>
        <a:noFill/>
        <a:ln w="9525">
          <a:noFill/>
          <a:miter lim="800000"/>
          <a:headEnd/>
          <a:tailEnd/>
        </a:ln>
      </xdr:spPr>
    </xdr:sp>
    <xdr:clientData/>
  </xdr:oneCellAnchor>
  <xdr:oneCellAnchor>
    <xdr:from>
      <xdr:col>16</xdr:col>
      <xdr:colOff>85725</xdr:colOff>
      <xdr:row>313</xdr:row>
      <xdr:rowOff>0</xdr:rowOff>
    </xdr:from>
    <xdr:ext cx="104775" cy="224895"/>
    <xdr:sp macro="" textlink="">
      <xdr:nvSpPr>
        <xdr:cNvPr id="74" name="Text Box 92">
          <a:extLst>
            <a:ext uri="{FF2B5EF4-FFF2-40B4-BE49-F238E27FC236}">
              <a16:creationId xmlns:a16="http://schemas.microsoft.com/office/drawing/2014/main" id="{3759392D-C5EB-4EC5-8C6D-5D3EC6DA4216}"/>
            </a:ext>
          </a:extLst>
        </xdr:cNvPr>
        <xdr:cNvSpPr txBox="1">
          <a:spLocks noChangeArrowheads="1"/>
        </xdr:cNvSpPr>
      </xdr:nvSpPr>
      <xdr:spPr bwMode="auto">
        <a:xfrm>
          <a:off x="8839200" y="92706825"/>
          <a:ext cx="104775" cy="224895"/>
        </a:xfrm>
        <a:prstGeom prst="rect">
          <a:avLst/>
        </a:prstGeom>
        <a:noFill/>
        <a:ln w="9525">
          <a:noFill/>
          <a:miter lim="800000"/>
          <a:headEnd/>
          <a:tailEnd/>
        </a:ln>
      </xdr:spPr>
    </xdr:sp>
    <xdr:clientData/>
  </xdr:oneCellAnchor>
  <xdr:oneCellAnchor>
    <xdr:from>
      <xdr:col>16</xdr:col>
      <xdr:colOff>85725</xdr:colOff>
      <xdr:row>313</xdr:row>
      <xdr:rowOff>0</xdr:rowOff>
    </xdr:from>
    <xdr:ext cx="104775" cy="224895"/>
    <xdr:sp macro="" textlink="">
      <xdr:nvSpPr>
        <xdr:cNvPr id="75" name="Text Box 93">
          <a:extLst>
            <a:ext uri="{FF2B5EF4-FFF2-40B4-BE49-F238E27FC236}">
              <a16:creationId xmlns:a16="http://schemas.microsoft.com/office/drawing/2014/main" id="{DF7124F8-BBAB-46F5-96D1-80162D08A92D}"/>
            </a:ext>
          </a:extLst>
        </xdr:cNvPr>
        <xdr:cNvSpPr txBox="1">
          <a:spLocks noChangeArrowheads="1"/>
        </xdr:cNvSpPr>
      </xdr:nvSpPr>
      <xdr:spPr bwMode="auto">
        <a:xfrm>
          <a:off x="8839200" y="92706825"/>
          <a:ext cx="104775" cy="224895"/>
        </a:xfrm>
        <a:prstGeom prst="rect">
          <a:avLst/>
        </a:prstGeom>
        <a:noFill/>
        <a:ln w="9525">
          <a:noFill/>
          <a:miter lim="800000"/>
          <a:headEnd/>
          <a:tailEnd/>
        </a:ln>
      </xdr:spPr>
    </xdr:sp>
    <xdr:clientData/>
  </xdr:oneCellAnchor>
  <xdr:oneCellAnchor>
    <xdr:from>
      <xdr:col>16</xdr:col>
      <xdr:colOff>85725</xdr:colOff>
      <xdr:row>313</xdr:row>
      <xdr:rowOff>0</xdr:rowOff>
    </xdr:from>
    <xdr:ext cx="104775" cy="224895"/>
    <xdr:sp macro="" textlink="">
      <xdr:nvSpPr>
        <xdr:cNvPr id="76" name="Text Box 94">
          <a:extLst>
            <a:ext uri="{FF2B5EF4-FFF2-40B4-BE49-F238E27FC236}">
              <a16:creationId xmlns:a16="http://schemas.microsoft.com/office/drawing/2014/main" id="{61B73A55-7463-4934-A463-3379857EB01C}"/>
            </a:ext>
          </a:extLst>
        </xdr:cNvPr>
        <xdr:cNvSpPr txBox="1">
          <a:spLocks noChangeArrowheads="1"/>
        </xdr:cNvSpPr>
      </xdr:nvSpPr>
      <xdr:spPr bwMode="auto">
        <a:xfrm>
          <a:off x="8839200" y="92706825"/>
          <a:ext cx="104775" cy="224895"/>
        </a:xfrm>
        <a:prstGeom prst="rect">
          <a:avLst/>
        </a:prstGeom>
        <a:noFill/>
        <a:ln w="9525">
          <a:noFill/>
          <a:miter lim="800000"/>
          <a:headEnd/>
          <a:tailEnd/>
        </a:ln>
      </xdr:spPr>
    </xdr:sp>
    <xdr:clientData/>
  </xdr:oneCellAnchor>
  <xdr:oneCellAnchor>
    <xdr:from>
      <xdr:col>16</xdr:col>
      <xdr:colOff>85725</xdr:colOff>
      <xdr:row>313</xdr:row>
      <xdr:rowOff>0</xdr:rowOff>
    </xdr:from>
    <xdr:ext cx="104775" cy="224895"/>
    <xdr:sp macro="" textlink="">
      <xdr:nvSpPr>
        <xdr:cNvPr id="77" name="Text Box 95">
          <a:extLst>
            <a:ext uri="{FF2B5EF4-FFF2-40B4-BE49-F238E27FC236}">
              <a16:creationId xmlns:a16="http://schemas.microsoft.com/office/drawing/2014/main" id="{48C2777D-D58F-4B09-B3AE-C1F242CE7BB2}"/>
            </a:ext>
          </a:extLst>
        </xdr:cNvPr>
        <xdr:cNvSpPr txBox="1">
          <a:spLocks noChangeArrowheads="1"/>
        </xdr:cNvSpPr>
      </xdr:nvSpPr>
      <xdr:spPr bwMode="auto">
        <a:xfrm>
          <a:off x="8839200" y="92706825"/>
          <a:ext cx="104775" cy="224895"/>
        </a:xfrm>
        <a:prstGeom prst="rect">
          <a:avLst/>
        </a:prstGeom>
        <a:noFill/>
        <a:ln w="9525">
          <a:noFill/>
          <a:miter lim="800000"/>
          <a:headEnd/>
          <a:tailEnd/>
        </a:ln>
      </xdr:spPr>
    </xdr:sp>
    <xdr:clientData/>
  </xdr:oneCellAnchor>
  <xdr:oneCellAnchor>
    <xdr:from>
      <xdr:col>16</xdr:col>
      <xdr:colOff>85725</xdr:colOff>
      <xdr:row>313</xdr:row>
      <xdr:rowOff>0</xdr:rowOff>
    </xdr:from>
    <xdr:ext cx="104775" cy="224895"/>
    <xdr:sp macro="" textlink="">
      <xdr:nvSpPr>
        <xdr:cNvPr id="78" name="Text Box 96">
          <a:extLst>
            <a:ext uri="{FF2B5EF4-FFF2-40B4-BE49-F238E27FC236}">
              <a16:creationId xmlns:a16="http://schemas.microsoft.com/office/drawing/2014/main" id="{F7C7FBD0-88B1-4FFC-A83A-83994B291E2A}"/>
            </a:ext>
          </a:extLst>
        </xdr:cNvPr>
        <xdr:cNvSpPr txBox="1">
          <a:spLocks noChangeArrowheads="1"/>
        </xdr:cNvSpPr>
      </xdr:nvSpPr>
      <xdr:spPr bwMode="auto">
        <a:xfrm>
          <a:off x="8839200" y="92706825"/>
          <a:ext cx="104775" cy="224895"/>
        </a:xfrm>
        <a:prstGeom prst="rect">
          <a:avLst/>
        </a:prstGeom>
        <a:noFill/>
        <a:ln w="9525">
          <a:noFill/>
          <a:miter lim="800000"/>
          <a:headEnd/>
          <a:tailEnd/>
        </a:ln>
      </xdr:spPr>
    </xdr:sp>
    <xdr:clientData/>
  </xdr:oneCellAnchor>
  <xdr:oneCellAnchor>
    <xdr:from>
      <xdr:col>16</xdr:col>
      <xdr:colOff>85725</xdr:colOff>
      <xdr:row>313</xdr:row>
      <xdr:rowOff>0</xdr:rowOff>
    </xdr:from>
    <xdr:ext cx="104775" cy="224895"/>
    <xdr:sp macro="" textlink="">
      <xdr:nvSpPr>
        <xdr:cNvPr id="79" name="Text Box 97">
          <a:extLst>
            <a:ext uri="{FF2B5EF4-FFF2-40B4-BE49-F238E27FC236}">
              <a16:creationId xmlns:a16="http://schemas.microsoft.com/office/drawing/2014/main" id="{A428692F-0C5B-41F7-8E78-ADA99F23DA35}"/>
            </a:ext>
          </a:extLst>
        </xdr:cNvPr>
        <xdr:cNvSpPr txBox="1">
          <a:spLocks noChangeArrowheads="1"/>
        </xdr:cNvSpPr>
      </xdr:nvSpPr>
      <xdr:spPr bwMode="auto">
        <a:xfrm>
          <a:off x="8839200" y="92706825"/>
          <a:ext cx="104775" cy="224895"/>
        </a:xfrm>
        <a:prstGeom prst="rect">
          <a:avLst/>
        </a:prstGeom>
        <a:noFill/>
        <a:ln w="9525">
          <a:noFill/>
          <a:miter lim="800000"/>
          <a:headEnd/>
          <a:tailEnd/>
        </a:ln>
      </xdr:spPr>
    </xdr:sp>
    <xdr:clientData/>
  </xdr:oneCellAnchor>
  <xdr:oneCellAnchor>
    <xdr:from>
      <xdr:col>16</xdr:col>
      <xdr:colOff>85725</xdr:colOff>
      <xdr:row>313</xdr:row>
      <xdr:rowOff>0</xdr:rowOff>
    </xdr:from>
    <xdr:ext cx="104775" cy="224895"/>
    <xdr:sp macro="" textlink="">
      <xdr:nvSpPr>
        <xdr:cNvPr id="80" name="Text Box 98">
          <a:extLst>
            <a:ext uri="{FF2B5EF4-FFF2-40B4-BE49-F238E27FC236}">
              <a16:creationId xmlns:a16="http://schemas.microsoft.com/office/drawing/2014/main" id="{D1C223C0-5120-43B6-BCC8-4C3BBA8412DA}"/>
            </a:ext>
          </a:extLst>
        </xdr:cNvPr>
        <xdr:cNvSpPr txBox="1">
          <a:spLocks noChangeArrowheads="1"/>
        </xdr:cNvSpPr>
      </xdr:nvSpPr>
      <xdr:spPr bwMode="auto">
        <a:xfrm>
          <a:off x="8839200" y="92706825"/>
          <a:ext cx="104775" cy="224895"/>
        </a:xfrm>
        <a:prstGeom prst="rect">
          <a:avLst/>
        </a:prstGeom>
        <a:noFill/>
        <a:ln w="9525">
          <a:noFill/>
          <a:miter lim="800000"/>
          <a:headEnd/>
          <a:tailEnd/>
        </a:ln>
      </xdr:spPr>
    </xdr:sp>
    <xdr:clientData/>
  </xdr:oneCellAnchor>
  <xdr:oneCellAnchor>
    <xdr:from>
      <xdr:col>16</xdr:col>
      <xdr:colOff>85725</xdr:colOff>
      <xdr:row>313</xdr:row>
      <xdr:rowOff>0</xdr:rowOff>
    </xdr:from>
    <xdr:ext cx="104775" cy="224895"/>
    <xdr:sp macro="" textlink="">
      <xdr:nvSpPr>
        <xdr:cNvPr id="81" name="Text Box 99">
          <a:extLst>
            <a:ext uri="{FF2B5EF4-FFF2-40B4-BE49-F238E27FC236}">
              <a16:creationId xmlns:a16="http://schemas.microsoft.com/office/drawing/2014/main" id="{05C6B57F-CE56-4299-9317-0CF274E58D36}"/>
            </a:ext>
          </a:extLst>
        </xdr:cNvPr>
        <xdr:cNvSpPr txBox="1">
          <a:spLocks noChangeArrowheads="1"/>
        </xdr:cNvSpPr>
      </xdr:nvSpPr>
      <xdr:spPr bwMode="auto">
        <a:xfrm>
          <a:off x="8839200" y="92706825"/>
          <a:ext cx="104775" cy="224895"/>
        </a:xfrm>
        <a:prstGeom prst="rect">
          <a:avLst/>
        </a:prstGeom>
        <a:noFill/>
        <a:ln w="9525">
          <a:noFill/>
          <a:miter lim="800000"/>
          <a:headEnd/>
          <a:tailEnd/>
        </a:ln>
      </xdr:spPr>
    </xdr:sp>
    <xdr:clientData/>
  </xdr:oneCellAnchor>
  <xdr:oneCellAnchor>
    <xdr:from>
      <xdr:col>16</xdr:col>
      <xdr:colOff>85725</xdr:colOff>
      <xdr:row>303</xdr:row>
      <xdr:rowOff>0</xdr:rowOff>
    </xdr:from>
    <xdr:ext cx="104775" cy="224895"/>
    <xdr:sp macro="" textlink="">
      <xdr:nvSpPr>
        <xdr:cNvPr id="82" name="Text Box 90">
          <a:extLst>
            <a:ext uri="{FF2B5EF4-FFF2-40B4-BE49-F238E27FC236}">
              <a16:creationId xmlns:a16="http://schemas.microsoft.com/office/drawing/2014/main" id="{291A8A32-F63E-4E01-AC54-2CF8233292C0}"/>
            </a:ext>
          </a:extLst>
        </xdr:cNvPr>
        <xdr:cNvSpPr txBox="1">
          <a:spLocks noChangeArrowheads="1"/>
        </xdr:cNvSpPr>
      </xdr:nvSpPr>
      <xdr:spPr bwMode="auto">
        <a:xfrm>
          <a:off x="8839200" y="90563700"/>
          <a:ext cx="104775" cy="224895"/>
        </a:xfrm>
        <a:prstGeom prst="rect">
          <a:avLst/>
        </a:prstGeom>
        <a:noFill/>
        <a:ln w="9525">
          <a:noFill/>
          <a:miter lim="800000"/>
          <a:headEnd/>
          <a:tailEnd/>
        </a:ln>
      </xdr:spPr>
    </xdr:sp>
    <xdr:clientData/>
  </xdr:oneCellAnchor>
  <xdr:oneCellAnchor>
    <xdr:from>
      <xdr:col>16</xdr:col>
      <xdr:colOff>85725</xdr:colOff>
      <xdr:row>303</xdr:row>
      <xdr:rowOff>0</xdr:rowOff>
    </xdr:from>
    <xdr:ext cx="104775" cy="224895"/>
    <xdr:sp macro="" textlink="">
      <xdr:nvSpPr>
        <xdr:cNvPr id="83" name="Text Box 91">
          <a:extLst>
            <a:ext uri="{FF2B5EF4-FFF2-40B4-BE49-F238E27FC236}">
              <a16:creationId xmlns:a16="http://schemas.microsoft.com/office/drawing/2014/main" id="{4A5F8D8D-E2BC-4A71-B543-DFC3BB702279}"/>
            </a:ext>
          </a:extLst>
        </xdr:cNvPr>
        <xdr:cNvSpPr txBox="1">
          <a:spLocks noChangeArrowheads="1"/>
        </xdr:cNvSpPr>
      </xdr:nvSpPr>
      <xdr:spPr bwMode="auto">
        <a:xfrm>
          <a:off x="8839200" y="90563700"/>
          <a:ext cx="104775" cy="224895"/>
        </a:xfrm>
        <a:prstGeom prst="rect">
          <a:avLst/>
        </a:prstGeom>
        <a:noFill/>
        <a:ln w="9525">
          <a:noFill/>
          <a:miter lim="800000"/>
          <a:headEnd/>
          <a:tailEnd/>
        </a:ln>
      </xdr:spPr>
    </xdr:sp>
    <xdr:clientData/>
  </xdr:oneCellAnchor>
  <xdr:oneCellAnchor>
    <xdr:from>
      <xdr:col>16</xdr:col>
      <xdr:colOff>85725</xdr:colOff>
      <xdr:row>303</xdr:row>
      <xdr:rowOff>0</xdr:rowOff>
    </xdr:from>
    <xdr:ext cx="104775" cy="224895"/>
    <xdr:sp macro="" textlink="">
      <xdr:nvSpPr>
        <xdr:cNvPr id="84" name="Text Box 92">
          <a:extLst>
            <a:ext uri="{FF2B5EF4-FFF2-40B4-BE49-F238E27FC236}">
              <a16:creationId xmlns:a16="http://schemas.microsoft.com/office/drawing/2014/main" id="{811F538E-6512-4DA2-9FEB-97E3EF273620}"/>
            </a:ext>
          </a:extLst>
        </xdr:cNvPr>
        <xdr:cNvSpPr txBox="1">
          <a:spLocks noChangeArrowheads="1"/>
        </xdr:cNvSpPr>
      </xdr:nvSpPr>
      <xdr:spPr bwMode="auto">
        <a:xfrm>
          <a:off x="8839200" y="90563700"/>
          <a:ext cx="104775" cy="224895"/>
        </a:xfrm>
        <a:prstGeom prst="rect">
          <a:avLst/>
        </a:prstGeom>
        <a:noFill/>
        <a:ln w="9525">
          <a:noFill/>
          <a:miter lim="800000"/>
          <a:headEnd/>
          <a:tailEnd/>
        </a:ln>
      </xdr:spPr>
    </xdr:sp>
    <xdr:clientData/>
  </xdr:oneCellAnchor>
  <xdr:oneCellAnchor>
    <xdr:from>
      <xdr:col>16</xdr:col>
      <xdr:colOff>85725</xdr:colOff>
      <xdr:row>303</xdr:row>
      <xdr:rowOff>0</xdr:rowOff>
    </xdr:from>
    <xdr:ext cx="104775" cy="224895"/>
    <xdr:sp macro="" textlink="">
      <xdr:nvSpPr>
        <xdr:cNvPr id="85" name="Text Box 93">
          <a:extLst>
            <a:ext uri="{FF2B5EF4-FFF2-40B4-BE49-F238E27FC236}">
              <a16:creationId xmlns:a16="http://schemas.microsoft.com/office/drawing/2014/main" id="{304095FD-BDEC-409F-91C5-0FEA79199773}"/>
            </a:ext>
          </a:extLst>
        </xdr:cNvPr>
        <xdr:cNvSpPr txBox="1">
          <a:spLocks noChangeArrowheads="1"/>
        </xdr:cNvSpPr>
      </xdr:nvSpPr>
      <xdr:spPr bwMode="auto">
        <a:xfrm>
          <a:off x="8839200" y="90563700"/>
          <a:ext cx="104775" cy="224895"/>
        </a:xfrm>
        <a:prstGeom prst="rect">
          <a:avLst/>
        </a:prstGeom>
        <a:noFill/>
        <a:ln w="9525">
          <a:noFill/>
          <a:miter lim="800000"/>
          <a:headEnd/>
          <a:tailEnd/>
        </a:ln>
      </xdr:spPr>
    </xdr:sp>
    <xdr:clientData/>
  </xdr:oneCellAnchor>
  <xdr:oneCellAnchor>
    <xdr:from>
      <xdr:col>16</xdr:col>
      <xdr:colOff>85725</xdr:colOff>
      <xdr:row>303</xdr:row>
      <xdr:rowOff>0</xdr:rowOff>
    </xdr:from>
    <xdr:ext cx="104775" cy="224895"/>
    <xdr:sp macro="" textlink="">
      <xdr:nvSpPr>
        <xdr:cNvPr id="86" name="Text Box 94">
          <a:extLst>
            <a:ext uri="{FF2B5EF4-FFF2-40B4-BE49-F238E27FC236}">
              <a16:creationId xmlns:a16="http://schemas.microsoft.com/office/drawing/2014/main" id="{5B31F1AC-76D6-4DC8-8B17-7678822BB36F}"/>
            </a:ext>
          </a:extLst>
        </xdr:cNvPr>
        <xdr:cNvSpPr txBox="1">
          <a:spLocks noChangeArrowheads="1"/>
        </xdr:cNvSpPr>
      </xdr:nvSpPr>
      <xdr:spPr bwMode="auto">
        <a:xfrm>
          <a:off x="8839200" y="90563700"/>
          <a:ext cx="104775" cy="224895"/>
        </a:xfrm>
        <a:prstGeom prst="rect">
          <a:avLst/>
        </a:prstGeom>
        <a:noFill/>
        <a:ln w="9525">
          <a:noFill/>
          <a:miter lim="800000"/>
          <a:headEnd/>
          <a:tailEnd/>
        </a:ln>
      </xdr:spPr>
    </xdr:sp>
    <xdr:clientData/>
  </xdr:oneCellAnchor>
  <xdr:oneCellAnchor>
    <xdr:from>
      <xdr:col>16</xdr:col>
      <xdr:colOff>85725</xdr:colOff>
      <xdr:row>303</xdr:row>
      <xdr:rowOff>0</xdr:rowOff>
    </xdr:from>
    <xdr:ext cx="104775" cy="224895"/>
    <xdr:sp macro="" textlink="">
      <xdr:nvSpPr>
        <xdr:cNvPr id="87" name="Text Box 95">
          <a:extLst>
            <a:ext uri="{FF2B5EF4-FFF2-40B4-BE49-F238E27FC236}">
              <a16:creationId xmlns:a16="http://schemas.microsoft.com/office/drawing/2014/main" id="{ACC3EBC7-F04F-4C8A-9863-D48D4C4F8915}"/>
            </a:ext>
          </a:extLst>
        </xdr:cNvPr>
        <xdr:cNvSpPr txBox="1">
          <a:spLocks noChangeArrowheads="1"/>
        </xdr:cNvSpPr>
      </xdr:nvSpPr>
      <xdr:spPr bwMode="auto">
        <a:xfrm>
          <a:off x="8839200" y="90563700"/>
          <a:ext cx="104775" cy="224895"/>
        </a:xfrm>
        <a:prstGeom prst="rect">
          <a:avLst/>
        </a:prstGeom>
        <a:noFill/>
        <a:ln w="9525">
          <a:noFill/>
          <a:miter lim="800000"/>
          <a:headEnd/>
          <a:tailEnd/>
        </a:ln>
      </xdr:spPr>
    </xdr:sp>
    <xdr:clientData/>
  </xdr:oneCellAnchor>
  <xdr:oneCellAnchor>
    <xdr:from>
      <xdr:col>16</xdr:col>
      <xdr:colOff>85725</xdr:colOff>
      <xdr:row>303</xdr:row>
      <xdr:rowOff>0</xdr:rowOff>
    </xdr:from>
    <xdr:ext cx="104775" cy="224895"/>
    <xdr:sp macro="" textlink="">
      <xdr:nvSpPr>
        <xdr:cNvPr id="88" name="Text Box 96">
          <a:extLst>
            <a:ext uri="{FF2B5EF4-FFF2-40B4-BE49-F238E27FC236}">
              <a16:creationId xmlns:a16="http://schemas.microsoft.com/office/drawing/2014/main" id="{A859D69B-0DCF-45A8-ABC5-B5E6467F894E}"/>
            </a:ext>
          </a:extLst>
        </xdr:cNvPr>
        <xdr:cNvSpPr txBox="1">
          <a:spLocks noChangeArrowheads="1"/>
        </xdr:cNvSpPr>
      </xdr:nvSpPr>
      <xdr:spPr bwMode="auto">
        <a:xfrm>
          <a:off x="8839200" y="90563700"/>
          <a:ext cx="104775" cy="224895"/>
        </a:xfrm>
        <a:prstGeom prst="rect">
          <a:avLst/>
        </a:prstGeom>
        <a:noFill/>
        <a:ln w="9525">
          <a:noFill/>
          <a:miter lim="800000"/>
          <a:headEnd/>
          <a:tailEnd/>
        </a:ln>
      </xdr:spPr>
    </xdr:sp>
    <xdr:clientData/>
  </xdr:oneCellAnchor>
  <xdr:oneCellAnchor>
    <xdr:from>
      <xdr:col>16</xdr:col>
      <xdr:colOff>85725</xdr:colOff>
      <xdr:row>303</xdr:row>
      <xdr:rowOff>0</xdr:rowOff>
    </xdr:from>
    <xdr:ext cx="104775" cy="224895"/>
    <xdr:sp macro="" textlink="">
      <xdr:nvSpPr>
        <xdr:cNvPr id="89" name="Text Box 97">
          <a:extLst>
            <a:ext uri="{FF2B5EF4-FFF2-40B4-BE49-F238E27FC236}">
              <a16:creationId xmlns:a16="http://schemas.microsoft.com/office/drawing/2014/main" id="{2ACFA081-1DD6-4423-ACC1-725C937C9AC7}"/>
            </a:ext>
          </a:extLst>
        </xdr:cNvPr>
        <xdr:cNvSpPr txBox="1">
          <a:spLocks noChangeArrowheads="1"/>
        </xdr:cNvSpPr>
      </xdr:nvSpPr>
      <xdr:spPr bwMode="auto">
        <a:xfrm>
          <a:off x="8839200" y="90563700"/>
          <a:ext cx="104775" cy="224895"/>
        </a:xfrm>
        <a:prstGeom prst="rect">
          <a:avLst/>
        </a:prstGeom>
        <a:noFill/>
        <a:ln w="9525">
          <a:noFill/>
          <a:miter lim="800000"/>
          <a:headEnd/>
          <a:tailEnd/>
        </a:ln>
      </xdr:spPr>
    </xdr:sp>
    <xdr:clientData/>
  </xdr:oneCellAnchor>
  <xdr:oneCellAnchor>
    <xdr:from>
      <xdr:col>16</xdr:col>
      <xdr:colOff>85725</xdr:colOff>
      <xdr:row>303</xdr:row>
      <xdr:rowOff>0</xdr:rowOff>
    </xdr:from>
    <xdr:ext cx="104775" cy="224895"/>
    <xdr:sp macro="" textlink="">
      <xdr:nvSpPr>
        <xdr:cNvPr id="90" name="Text Box 98">
          <a:extLst>
            <a:ext uri="{FF2B5EF4-FFF2-40B4-BE49-F238E27FC236}">
              <a16:creationId xmlns:a16="http://schemas.microsoft.com/office/drawing/2014/main" id="{DC1AE03A-52B3-42BF-A3CA-74CBBC8090B8}"/>
            </a:ext>
          </a:extLst>
        </xdr:cNvPr>
        <xdr:cNvSpPr txBox="1">
          <a:spLocks noChangeArrowheads="1"/>
        </xdr:cNvSpPr>
      </xdr:nvSpPr>
      <xdr:spPr bwMode="auto">
        <a:xfrm>
          <a:off x="8839200" y="90563700"/>
          <a:ext cx="104775" cy="224895"/>
        </a:xfrm>
        <a:prstGeom prst="rect">
          <a:avLst/>
        </a:prstGeom>
        <a:noFill/>
        <a:ln w="9525">
          <a:noFill/>
          <a:miter lim="800000"/>
          <a:headEnd/>
          <a:tailEnd/>
        </a:ln>
      </xdr:spPr>
    </xdr:sp>
    <xdr:clientData/>
  </xdr:oneCellAnchor>
  <xdr:oneCellAnchor>
    <xdr:from>
      <xdr:col>16</xdr:col>
      <xdr:colOff>85725</xdr:colOff>
      <xdr:row>303</xdr:row>
      <xdr:rowOff>0</xdr:rowOff>
    </xdr:from>
    <xdr:ext cx="104775" cy="224895"/>
    <xdr:sp macro="" textlink="">
      <xdr:nvSpPr>
        <xdr:cNvPr id="91" name="Text Box 99">
          <a:extLst>
            <a:ext uri="{FF2B5EF4-FFF2-40B4-BE49-F238E27FC236}">
              <a16:creationId xmlns:a16="http://schemas.microsoft.com/office/drawing/2014/main" id="{33DA3922-E515-416E-A15B-4DAED7CFB0B8}"/>
            </a:ext>
          </a:extLst>
        </xdr:cNvPr>
        <xdr:cNvSpPr txBox="1">
          <a:spLocks noChangeArrowheads="1"/>
        </xdr:cNvSpPr>
      </xdr:nvSpPr>
      <xdr:spPr bwMode="auto">
        <a:xfrm>
          <a:off x="8839200" y="90563700"/>
          <a:ext cx="104775" cy="224895"/>
        </a:xfrm>
        <a:prstGeom prst="rect">
          <a:avLst/>
        </a:prstGeom>
        <a:noFill/>
        <a:ln w="9525">
          <a:noFill/>
          <a:miter lim="800000"/>
          <a:headEnd/>
          <a:tailEnd/>
        </a:ln>
      </xdr:spPr>
    </xdr:sp>
    <xdr:clientData/>
  </xdr:oneCellAnchor>
  <xdr:oneCellAnchor>
    <xdr:from>
      <xdr:col>20</xdr:col>
      <xdr:colOff>85725</xdr:colOff>
      <xdr:row>282</xdr:row>
      <xdr:rowOff>0</xdr:rowOff>
    </xdr:from>
    <xdr:ext cx="104775" cy="224896"/>
    <xdr:sp macro="" textlink="">
      <xdr:nvSpPr>
        <xdr:cNvPr id="92" name="Text Box 24">
          <a:extLst>
            <a:ext uri="{FF2B5EF4-FFF2-40B4-BE49-F238E27FC236}">
              <a16:creationId xmlns:a16="http://schemas.microsoft.com/office/drawing/2014/main" id="{D806C714-447E-48C0-885D-91CC52AFA5E7}"/>
            </a:ext>
          </a:extLst>
        </xdr:cNvPr>
        <xdr:cNvSpPr txBox="1">
          <a:spLocks noChangeArrowheads="1"/>
        </xdr:cNvSpPr>
      </xdr:nvSpPr>
      <xdr:spPr bwMode="auto">
        <a:xfrm>
          <a:off x="11896725" y="86115525"/>
          <a:ext cx="104775" cy="224896"/>
        </a:xfrm>
        <a:prstGeom prst="rect">
          <a:avLst/>
        </a:prstGeom>
        <a:noFill/>
        <a:ln w="9525">
          <a:noFill/>
          <a:miter lim="800000"/>
          <a:headEnd/>
          <a:tailEnd/>
        </a:ln>
      </xdr:spPr>
    </xdr:sp>
    <xdr:clientData/>
  </xdr:oneCellAnchor>
  <xdr:oneCellAnchor>
    <xdr:from>
      <xdr:col>20</xdr:col>
      <xdr:colOff>85725</xdr:colOff>
      <xdr:row>282</xdr:row>
      <xdr:rowOff>0</xdr:rowOff>
    </xdr:from>
    <xdr:ext cx="104775" cy="224896"/>
    <xdr:sp macro="" textlink="">
      <xdr:nvSpPr>
        <xdr:cNvPr id="93" name="Text Box 25">
          <a:extLst>
            <a:ext uri="{FF2B5EF4-FFF2-40B4-BE49-F238E27FC236}">
              <a16:creationId xmlns:a16="http://schemas.microsoft.com/office/drawing/2014/main" id="{F33DE7C8-AE6B-487E-B5AB-F8D20DF6844F}"/>
            </a:ext>
          </a:extLst>
        </xdr:cNvPr>
        <xdr:cNvSpPr txBox="1">
          <a:spLocks noChangeArrowheads="1"/>
        </xdr:cNvSpPr>
      </xdr:nvSpPr>
      <xdr:spPr bwMode="auto">
        <a:xfrm>
          <a:off x="11896725" y="86115525"/>
          <a:ext cx="104775" cy="224896"/>
        </a:xfrm>
        <a:prstGeom prst="rect">
          <a:avLst/>
        </a:prstGeom>
        <a:noFill/>
        <a:ln w="9525">
          <a:noFill/>
          <a:miter lim="800000"/>
          <a:headEnd/>
          <a:tailEnd/>
        </a:ln>
      </xdr:spPr>
    </xdr:sp>
    <xdr:clientData/>
  </xdr:oneCellAnchor>
  <xdr:oneCellAnchor>
    <xdr:from>
      <xdr:col>20</xdr:col>
      <xdr:colOff>85725</xdr:colOff>
      <xdr:row>282</xdr:row>
      <xdr:rowOff>0</xdr:rowOff>
    </xdr:from>
    <xdr:ext cx="104775" cy="224896"/>
    <xdr:sp macro="" textlink="">
      <xdr:nvSpPr>
        <xdr:cNvPr id="94" name="Text Box 37">
          <a:extLst>
            <a:ext uri="{FF2B5EF4-FFF2-40B4-BE49-F238E27FC236}">
              <a16:creationId xmlns:a16="http://schemas.microsoft.com/office/drawing/2014/main" id="{834F5665-A35F-4419-884E-27AA1E652734}"/>
            </a:ext>
          </a:extLst>
        </xdr:cNvPr>
        <xdr:cNvSpPr txBox="1">
          <a:spLocks noChangeArrowheads="1"/>
        </xdr:cNvSpPr>
      </xdr:nvSpPr>
      <xdr:spPr bwMode="auto">
        <a:xfrm>
          <a:off x="11896725" y="86115525"/>
          <a:ext cx="104775" cy="224896"/>
        </a:xfrm>
        <a:prstGeom prst="rect">
          <a:avLst/>
        </a:prstGeom>
        <a:noFill/>
        <a:ln w="9525">
          <a:noFill/>
          <a:miter lim="800000"/>
          <a:headEnd/>
          <a:tailEnd/>
        </a:ln>
      </xdr:spPr>
    </xdr:sp>
    <xdr:clientData/>
  </xdr:oneCellAnchor>
  <xdr:oneCellAnchor>
    <xdr:from>
      <xdr:col>20</xdr:col>
      <xdr:colOff>85725</xdr:colOff>
      <xdr:row>282</xdr:row>
      <xdr:rowOff>0</xdr:rowOff>
    </xdr:from>
    <xdr:ext cx="104775" cy="224896"/>
    <xdr:sp macro="" textlink="">
      <xdr:nvSpPr>
        <xdr:cNvPr id="95" name="Text Box 38">
          <a:extLst>
            <a:ext uri="{FF2B5EF4-FFF2-40B4-BE49-F238E27FC236}">
              <a16:creationId xmlns:a16="http://schemas.microsoft.com/office/drawing/2014/main" id="{D8809756-7956-465F-AE2F-374A2E519FD8}"/>
            </a:ext>
          </a:extLst>
        </xdr:cNvPr>
        <xdr:cNvSpPr txBox="1">
          <a:spLocks noChangeArrowheads="1"/>
        </xdr:cNvSpPr>
      </xdr:nvSpPr>
      <xdr:spPr bwMode="auto">
        <a:xfrm>
          <a:off x="11896725" y="86115525"/>
          <a:ext cx="104775" cy="224896"/>
        </a:xfrm>
        <a:prstGeom prst="rect">
          <a:avLst/>
        </a:prstGeom>
        <a:noFill/>
        <a:ln w="9525">
          <a:noFill/>
          <a:miter lim="800000"/>
          <a:headEnd/>
          <a:tailEnd/>
        </a:ln>
      </xdr:spPr>
    </xdr:sp>
    <xdr:clientData/>
  </xdr:oneCellAnchor>
  <xdr:oneCellAnchor>
    <xdr:from>
      <xdr:col>20</xdr:col>
      <xdr:colOff>85725</xdr:colOff>
      <xdr:row>282</xdr:row>
      <xdr:rowOff>0</xdr:rowOff>
    </xdr:from>
    <xdr:ext cx="104775" cy="224896"/>
    <xdr:sp macro="" textlink="">
      <xdr:nvSpPr>
        <xdr:cNvPr id="96" name="Text Box 39">
          <a:extLst>
            <a:ext uri="{FF2B5EF4-FFF2-40B4-BE49-F238E27FC236}">
              <a16:creationId xmlns:a16="http://schemas.microsoft.com/office/drawing/2014/main" id="{45FC3787-F3BC-4B38-9FA8-CD193EDD21B8}"/>
            </a:ext>
          </a:extLst>
        </xdr:cNvPr>
        <xdr:cNvSpPr txBox="1">
          <a:spLocks noChangeArrowheads="1"/>
        </xdr:cNvSpPr>
      </xdr:nvSpPr>
      <xdr:spPr bwMode="auto">
        <a:xfrm>
          <a:off x="11896725" y="86115525"/>
          <a:ext cx="104775" cy="224896"/>
        </a:xfrm>
        <a:prstGeom prst="rect">
          <a:avLst/>
        </a:prstGeom>
        <a:noFill/>
        <a:ln w="9525">
          <a:noFill/>
          <a:miter lim="800000"/>
          <a:headEnd/>
          <a:tailEnd/>
        </a:ln>
      </xdr:spPr>
    </xdr:sp>
    <xdr:clientData/>
  </xdr:oneCellAnchor>
  <xdr:oneCellAnchor>
    <xdr:from>
      <xdr:col>20</xdr:col>
      <xdr:colOff>85725</xdr:colOff>
      <xdr:row>282</xdr:row>
      <xdr:rowOff>0</xdr:rowOff>
    </xdr:from>
    <xdr:ext cx="104775" cy="224896"/>
    <xdr:sp macro="" textlink="">
      <xdr:nvSpPr>
        <xdr:cNvPr id="97" name="Text Box 40">
          <a:extLst>
            <a:ext uri="{FF2B5EF4-FFF2-40B4-BE49-F238E27FC236}">
              <a16:creationId xmlns:a16="http://schemas.microsoft.com/office/drawing/2014/main" id="{82241F05-32BA-4053-B346-2A1F3B358CD1}"/>
            </a:ext>
          </a:extLst>
        </xdr:cNvPr>
        <xdr:cNvSpPr txBox="1">
          <a:spLocks noChangeArrowheads="1"/>
        </xdr:cNvSpPr>
      </xdr:nvSpPr>
      <xdr:spPr bwMode="auto">
        <a:xfrm>
          <a:off x="11896725" y="86115525"/>
          <a:ext cx="104775" cy="224896"/>
        </a:xfrm>
        <a:prstGeom prst="rect">
          <a:avLst/>
        </a:prstGeom>
        <a:noFill/>
        <a:ln w="9525">
          <a:noFill/>
          <a:miter lim="800000"/>
          <a:headEnd/>
          <a:tailEnd/>
        </a:ln>
      </xdr:spPr>
    </xdr:sp>
    <xdr:clientData/>
  </xdr:oneCellAnchor>
  <xdr:oneCellAnchor>
    <xdr:from>
      <xdr:col>16</xdr:col>
      <xdr:colOff>85725</xdr:colOff>
      <xdr:row>273</xdr:row>
      <xdr:rowOff>0</xdr:rowOff>
    </xdr:from>
    <xdr:ext cx="104775" cy="224895"/>
    <xdr:sp macro="" textlink="">
      <xdr:nvSpPr>
        <xdr:cNvPr id="98" name="Text Box 90">
          <a:extLst>
            <a:ext uri="{FF2B5EF4-FFF2-40B4-BE49-F238E27FC236}">
              <a16:creationId xmlns:a16="http://schemas.microsoft.com/office/drawing/2014/main" id="{27DCBB8A-DDB1-48AA-B37E-64CED01EF240}"/>
            </a:ext>
          </a:extLst>
        </xdr:cNvPr>
        <xdr:cNvSpPr txBox="1">
          <a:spLocks noChangeArrowheads="1"/>
        </xdr:cNvSpPr>
      </xdr:nvSpPr>
      <xdr:spPr bwMode="auto">
        <a:xfrm>
          <a:off x="8839200" y="84181950"/>
          <a:ext cx="104775" cy="224895"/>
        </a:xfrm>
        <a:prstGeom prst="rect">
          <a:avLst/>
        </a:prstGeom>
        <a:noFill/>
        <a:ln w="9525">
          <a:noFill/>
          <a:miter lim="800000"/>
          <a:headEnd/>
          <a:tailEnd/>
        </a:ln>
      </xdr:spPr>
    </xdr:sp>
    <xdr:clientData/>
  </xdr:oneCellAnchor>
  <xdr:oneCellAnchor>
    <xdr:from>
      <xdr:col>16</xdr:col>
      <xdr:colOff>85725</xdr:colOff>
      <xdr:row>273</xdr:row>
      <xdr:rowOff>0</xdr:rowOff>
    </xdr:from>
    <xdr:ext cx="104775" cy="224895"/>
    <xdr:sp macro="" textlink="">
      <xdr:nvSpPr>
        <xdr:cNvPr id="99" name="Text Box 91">
          <a:extLst>
            <a:ext uri="{FF2B5EF4-FFF2-40B4-BE49-F238E27FC236}">
              <a16:creationId xmlns:a16="http://schemas.microsoft.com/office/drawing/2014/main" id="{4E859DB3-B8FA-4611-8A97-A74D81247BDB}"/>
            </a:ext>
          </a:extLst>
        </xdr:cNvPr>
        <xdr:cNvSpPr txBox="1">
          <a:spLocks noChangeArrowheads="1"/>
        </xdr:cNvSpPr>
      </xdr:nvSpPr>
      <xdr:spPr bwMode="auto">
        <a:xfrm>
          <a:off x="8839200" y="84181950"/>
          <a:ext cx="104775" cy="224895"/>
        </a:xfrm>
        <a:prstGeom prst="rect">
          <a:avLst/>
        </a:prstGeom>
        <a:noFill/>
        <a:ln w="9525">
          <a:noFill/>
          <a:miter lim="800000"/>
          <a:headEnd/>
          <a:tailEnd/>
        </a:ln>
      </xdr:spPr>
    </xdr:sp>
    <xdr:clientData/>
  </xdr:oneCellAnchor>
  <xdr:oneCellAnchor>
    <xdr:from>
      <xdr:col>16</xdr:col>
      <xdr:colOff>85725</xdr:colOff>
      <xdr:row>273</xdr:row>
      <xdr:rowOff>0</xdr:rowOff>
    </xdr:from>
    <xdr:ext cx="104775" cy="224895"/>
    <xdr:sp macro="" textlink="">
      <xdr:nvSpPr>
        <xdr:cNvPr id="100" name="Text Box 92">
          <a:extLst>
            <a:ext uri="{FF2B5EF4-FFF2-40B4-BE49-F238E27FC236}">
              <a16:creationId xmlns:a16="http://schemas.microsoft.com/office/drawing/2014/main" id="{E8021E92-BCD1-4E17-BA7F-F1BDADF0C238}"/>
            </a:ext>
          </a:extLst>
        </xdr:cNvPr>
        <xdr:cNvSpPr txBox="1">
          <a:spLocks noChangeArrowheads="1"/>
        </xdr:cNvSpPr>
      </xdr:nvSpPr>
      <xdr:spPr bwMode="auto">
        <a:xfrm>
          <a:off x="8839200" y="84181950"/>
          <a:ext cx="104775" cy="224895"/>
        </a:xfrm>
        <a:prstGeom prst="rect">
          <a:avLst/>
        </a:prstGeom>
        <a:noFill/>
        <a:ln w="9525">
          <a:noFill/>
          <a:miter lim="800000"/>
          <a:headEnd/>
          <a:tailEnd/>
        </a:ln>
      </xdr:spPr>
    </xdr:sp>
    <xdr:clientData/>
  </xdr:oneCellAnchor>
  <xdr:oneCellAnchor>
    <xdr:from>
      <xdr:col>16</xdr:col>
      <xdr:colOff>85725</xdr:colOff>
      <xdr:row>273</xdr:row>
      <xdr:rowOff>0</xdr:rowOff>
    </xdr:from>
    <xdr:ext cx="104775" cy="224895"/>
    <xdr:sp macro="" textlink="">
      <xdr:nvSpPr>
        <xdr:cNvPr id="101" name="Text Box 93">
          <a:extLst>
            <a:ext uri="{FF2B5EF4-FFF2-40B4-BE49-F238E27FC236}">
              <a16:creationId xmlns:a16="http://schemas.microsoft.com/office/drawing/2014/main" id="{1B8AE9B3-BFFA-421F-8D02-6C6990FBA8AB}"/>
            </a:ext>
          </a:extLst>
        </xdr:cNvPr>
        <xdr:cNvSpPr txBox="1">
          <a:spLocks noChangeArrowheads="1"/>
        </xdr:cNvSpPr>
      </xdr:nvSpPr>
      <xdr:spPr bwMode="auto">
        <a:xfrm>
          <a:off x="8839200" y="84181950"/>
          <a:ext cx="104775" cy="224895"/>
        </a:xfrm>
        <a:prstGeom prst="rect">
          <a:avLst/>
        </a:prstGeom>
        <a:noFill/>
        <a:ln w="9525">
          <a:noFill/>
          <a:miter lim="800000"/>
          <a:headEnd/>
          <a:tailEnd/>
        </a:ln>
      </xdr:spPr>
    </xdr:sp>
    <xdr:clientData/>
  </xdr:oneCellAnchor>
  <xdr:oneCellAnchor>
    <xdr:from>
      <xdr:col>16</xdr:col>
      <xdr:colOff>85725</xdr:colOff>
      <xdr:row>273</xdr:row>
      <xdr:rowOff>0</xdr:rowOff>
    </xdr:from>
    <xdr:ext cx="104775" cy="224895"/>
    <xdr:sp macro="" textlink="">
      <xdr:nvSpPr>
        <xdr:cNvPr id="102" name="Text Box 94">
          <a:extLst>
            <a:ext uri="{FF2B5EF4-FFF2-40B4-BE49-F238E27FC236}">
              <a16:creationId xmlns:a16="http://schemas.microsoft.com/office/drawing/2014/main" id="{5F1AE0AF-2232-414D-9C52-93080EB00475}"/>
            </a:ext>
          </a:extLst>
        </xdr:cNvPr>
        <xdr:cNvSpPr txBox="1">
          <a:spLocks noChangeArrowheads="1"/>
        </xdr:cNvSpPr>
      </xdr:nvSpPr>
      <xdr:spPr bwMode="auto">
        <a:xfrm>
          <a:off x="8839200" y="84181950"/>
          <a:ext cx="104775" cy="224895"/>
        </a:xfrm>
        <a:prstGeom prst="rect">
          <a:avLst/>
        </a:prstGeom>
        <a:noFill/>
        <a:ln w="9525">
          <a:noFill/>
          <a:miter lim="800000"/>
          <a:headEnd/>
          <a:tailEnd/>
        </a:ln>
      </xdr:spPr>
    </xdr:sp>
    <xdr:clientData/>
  </xdr:oneCellAnchor>
  <xdr:oneCellAnchor>
    <xdr:from>
      <xdr:col>16</xdr:col>
      <xdr:colOff>85725</xdr:colOff>
      <xdr:row>273</xdr:row>
      <xdr:rowOff>0</xdr:rowOff>
    </xdr:from>
    <xdr:ext cx="104775" cy="224895"/>
    <xdr:sp macro="" textlink="">
      <xdr:nvSpPr>
        <xdr:cNvPr id="103" name="Text Box 95">
          <a:extLst>
            <a:ext uri="{FF2B5EF4-FFF2-40B4-BE49-F238E27FC236}">
              <a16:creationId xmlns:a16="http://schemas.microsoft.com/office/drawing/2014/main" id="{66E872A3-EEB9-43B0-9EEB-E59E60AE7FC0}"/>
            </a:ext>
          </a:extLst>
        </xdr:cNvPr>
        <xdr:cNvSpPr txBox="1">
          <a:spLocks noChangeArrowheads="1"/>
        </xdr:cNvSpPr>
      </xdr:nvSpPr>
      <xdr:spPr bwMode="auto">
        <a:xfrm>
          <a:off x="8839200" y="84181950"/>
          <a:ext cx="104775" cy="224895"/>
        </a:xfrm>
        <a:prstGeom prst="rect">
          <a:avLst/>
        </a:prstGeom>
        <a:noFill/>
        <a:ln w="9525">
          <a:noFill/>
          <a:miter lim="800000"/>
          <a:headEnd/>
          <a:tailEnd/>
        </a:ln>
      </xdr:spPr>
    </xdr:sp>
    <xdr:clientData/>
  </xdr:oneCellAnchor>
  <xdr:oneCellAnchor>
    <xdr:from>
      <xdr:col>16</xdr:col>
      <xdr:colOff>85725</xdr:colOff>
      <xdr:row>273</xdr:row>
      <xdr:rowOff>0</xdr:rowOff>
    </xdr:from>
    <xdr:ext cx="104775" cy="224895"/>
    <xdr:sp macro="" textlink="">
      <xdr:nvSpPr>
        <xdr:cNvPr id="104" name="Text Box 96">
          <a:extLst>
            <a:ext uri="{FF2B5EF4-FFF2-40B4-BE49-F238E27FC236}">
              <a16:creationId xmlns:a16="http://schemas.microsoft.com/office/drawing/2014/main" id="{870791A4-53AC-4161-B773-234CAA88E295}"/>
            </a:ext>
          </a:extLst>
        </xdr:cNvPr>
        <xdr:cNvSpPr txBox="1">
          <a:spLocks noChangeArrowheads="1"/>
        </xdr:cNvSpPr>
      </xdr:nvSpPr>
      <xdr:spPr bwMode="auto">
        <a:xfrm>
          <a:off x="8839200" y="84181950"/>
          <a:ext cx="104775" cy="224895"/>
        </a:xfrm>
        <a:prstGeom prst="rect">
          <a:avLst/>
        </a:prstGeom>
        <a:noFill/>
        <a:ln w="9525">
          <a:noFill/>
          <a:miter lim="800000"/>
          <a:headEnd/>
          <a:tailEnd/>
        </a:ln>
      </xdr:spPr>
    </xdr:sp>
    <xdr:clientData/>
  </xdr:oneCellAnchor>
  <xdr:oneCellAnchor>
    <xdr:from>
      <xdr:col>16</xdr:col>
      <xdr:colOff>85725</xdr:colOff>
      <xdr:row>273</xdr:row>
      <xdr:rowOff>0</xdr:rowOff>
    </xdr:from>
    <xdr:ext cx="104775" cy="224895"/>
    <xdr:sp macro="" textlink="">
      <xdr:nvSpPr>
        <xdr:cNvPr id="105" name="Text Box 97">
          <a:extLst>
            <a:ext uri="{FF2B5EF4-FFF2-40B4-BE49-F238E27FC236}">
              <a16:creationId xmlns:a16="http://schemas.microsoft.com/office/drawing/2014/main" id="{0A68E738-C76B-4B9D-B53A-0150703AF460}"/>
            </a:ext>
          </a:extLst>
        </xdr:cNvPr>
        <xdr:cNvSpPr txBox="1">
          <a:spLocks noChangeArrowheads="1"/>
        </xdr:cNvSpPr>
      </xdr:nvSpPr>
      <xdr:spPr bwMode="auto">
        <a:xfrm>
          <a:off x="8839200" y="84181950"/>
          <a:ext cx="104775" cy="224895"/>
        </a:xfrm>
        <a:prstGeom prst="rect">
          <a:avLst/>
        </a:prstGeom>
        <a:noFill/>
        <a:ln w="9525">
          <a:noFill/>
          <a:miter lim="800000"/>
          <a:headEnd/>
          <a:tailEnd/>
        </a:ln>
      </xdr:spPr>
    </xdr:sp>
    <xdr:clientData/>
  </xdr:oneCellAnchor>
  <xdr:oneCellAnchor>
    <xdr:from>
      <xdr:col>16</xdr:col>
      <xdr:colOff>85725</xdr:colOff>
      <xdr:row>273</xdr:row>
      <xdr:rowOff>0</xdr:rowOff>
    </xdr:from>
    <xdr:ext cx="104775" cy="224895"/>
    <xdr:sp macro="" textlink="">
      <xdr:nvSpPr>
        <xdr:cNvPr id="106" name="Text Box 98">
          <a:extLst>
            <a:ext uri="{FF2B5EF4-FFF2-40B4-BE49-F238E27FC236}">
              <a16:creationId xmlns:a16="http://schemas.microsoft.com/office/drawing/2014/main" id="{DC94EA30-FE28-4702-82C3-8F1C169FF545}"/>
            </a:ext>
          </a:extLst>
        </xdr:cNvPr>
        <xdr:cNvSpPr txBox="1">
          <a:spLocks noChangeArrowheads="1"/>
        </xdr:cNvSpPr>
      </xdr:nvSpPr>
      <xdr:spPr bwMode="auto">
        <a:xfrm>
          <a:off x="8839200" y="84181950"/>
          <a:ext cx="104775" cy="224895"/>
        </a:xfrm>
        <a:prstGeom prst="rect">
          <a:avLst/>
        </a:prstGeom>
        <a:noFill/>
        <a:ln w="9525">
          <a:noFill/>
          <a:miter lim="800000"/>
          <a:headEnd/>
          <a:tailEnd/>
        </a:ln>
      </xdr:spPr>
    </xdr:sp>
    <xdr:clientData/>
  </xdr:oneCellAnchor>
  <xdr:twoCellAnchor>
    <xdr:from>
      <xdr:col>33</xdr:col>
      <xdr:colOff>13229</xdr:colOff>
      <xdr:row>306</xdr:row>
      <xdr:rowOff>59532</xdr:rowOff>
    </xdr:from>
    <xdr:to>
      <xdr:col>33</xdr:col>
      <xdr:colOff>566738</xdr:colOff>
      <xdr:row>306</xdr:row>
      <xdr:rowOff>199762</xdr:rowOff>
    </xdr:to>
    <xdr:sp macro="" textlink="">
      <xdr:nvSpPr>
        <xdr:cNvPr id="107" name="テキスト ボックス 106">
          <a:extLst>
            <a:ext uri="{FF2B5EF4-FFF2-40B4-BE49-F238E27FC236}">
              <a16:creationId xmlns:a16="http://schemas.microsoft.com/office/drawing/2014/main" id="{83D34ACC-8656-4EF0-9AE2-9530592994D6}"/>
            </a:ext>
          </a:extLst>
        </xdr:cNvPr>
        <xdr:cNvSpPr txBox="1"/>
      </xdr:nvSpPr>
      <xdr:spPr>
        <a:xfrm>
          <a:off x="17139179" y="91299507"/>
          <a:ext cx="534459" cy="1402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100"/>
            <a:t>収入</a:t>
          </a:r>
        </a:p>
      </xdr:txBody>
    </xdr:sp>
    <xdr:clientData/>
  </xdr:twoCellAnchor>
  <xdr:twoCellAnchor>
    <xdr:from>
      <xdr:col>34</xdr:col>
      <xdr:colOff>0</xdr:colOff>
      <xdr:row>306</xdr:row>
      <xdr:rowOff>70115</xdr:rowOff>
    </xdr:from>
    <xdr:to>
      <xdr:col>34</xdr:col>
      <xdr:colOff>582084</xdr:colOff>
      <xdr:row>306</xdr:row>
      <xdr:rowOff>179653</xdr:rowOff>
    </xdr:to>
    <xdr:sp macro="" textlink="">
      <xdr:nvSpPr>
        <xdr:cNvPr id="108" name="テキスト ボックス 107">
          <a:extLst>
            <a:ext uri="{FF2B5EF4-FFF2-40B4-BE49-F238E27FC236}">
              <a16:creationId xmlns:a16="http://schemas.microsoft.com/office/drawing/2014/main" id="{F49A61CC-FE86-4910-9E67-194307D19E5A}"/>
            </a:ext>
          </a:extLst>
        </xdr:cNvPr>
        <xdr:cNvSpPr txBox="1"/>
      </xdr:nvSpPr>
      <xdr:spPr>
        <a:xfrm>
          <a:off x="17678400" y="91310090"/>
          <a:ext cx="582084" cy="1095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100"/>
            <a:t>費用</a:t>
          </a:r>
        </a:p>
      </xdr:txBody>
    </xdr:sp>
    <xdr:clientData/>
  </xdr:twoCellAnchor>
  <xdr:twoCellAnchor editAs="oneCell">
    <xdr:from>
      <xdr:col>19</xdr:col>
      <xdr:colOff>85725</xdr:colOff>
      <xdr:row>316</xdr:row>
      <xdr:rowOff>0</xdr:rowOff>
    </xdr:from>
    <xdr:to>
      <xdr:col>19</xdr:col>
      <xdr:colOff>190500</xdr:colOff>
      <xdr:row>317</xdr:row>
      <xdr:rowOff>15609</xdr:rowOff>
    </xdr:to>
    <xdr:sp macro="" textlink="">
      <xdr:nvSpPr>
        <xdr:cNvPr id="109" name="Text Box 48">
          <a:extLst>
            <a:ext uri="{FF2B5EF4-FFF2-40B4-BE49-F238E27FC236}">
              <a16:creationId xmlns:a16="http://schemas.microsoft.com/office/drawing/2014/main" id="{A5F8C33E-E7DA-462F-855D-722C08C44C7E}"/>
            </a:ext>
          </a:extLst>
        </xdr:cNvPr>
        <xdr:cNvSpPr txBox="1">
          <a:spLocks noChangeArrowheads="1"/>
        </xdr:cNvSpPr>
      </xdr:nvSpPr>
      <xdr:spPr bwMode="auto">
        <a:xfrm>
          <a:off x="11249025" y="93335475"/>
          <a:ext cx="104775" cy="225159"/>
        </a:xfrm>
        <a:prstGeom prst="rect">
          <a:avLst/>
        </a:prstGeom>
        <a:noFill/>
        <a:ln w="9525">
          <a:noFill/>
          <a:miter lim="800000"/>
          <a:headEnd/>
          <a:tailEnd/>
        </a:ln>
      </xdr:spPr>
    </xdr:sp>
    <xdr:clientData/>
  </xdr:twoCellAnchor>
  <xdr:twoCellAnchor editAs="oneCell">
    <xdr:from>
      <xdr:col>19</xdr:col>
      <xdr:colOff>85725</xdr:colOff>
      <xdr:row>268</xdr:row>
      <xdr:rowOff>0</xdr:rowOff>
    </xdr:from>
    <xdr:to>
      <xdr:col>19</xdr:col>
      <xdr:colOff>190500</xdr:colOff>
      <xdr:row>269</xdr:row>
      <xdr:rowOff>15611</xdr:rowOff>
    </xdr:to>
    <xdr:sp macro="" textlink="">
      <xdr:nvSpPr>
        <xdr:cNvPr id="110" name="Text Box 54">
          <a:extLst>
            <a:ext uri="{FF2B5EF4-FFF2-40B4-BE49-F238E27FC236}">
              <a16:creationId xmlns:a16="http://schemas.microsoft.com/office/drawing/2014/main" id="{FC4DB889-5239-49FA-80E2-AA07E46DD115}"/>
            </a:ext>
          </a:extLst>
        </xdr:cNvPr>
        <xdr:cNvSpPr txBox="1">
          <a:spLocks noChangeArrowheads="1"/>
        </xdr:cNvSpPr>
      </xdr:nvSpPr>
      <xdr:spPr bwMode="auto">
        <a:xfrm>
          <a:off x="11249025" y="83258025"/>
          <a:ext cx="104775" cy="225161"/>
        </a:xfrm>
        <a:prstGeom prst="rect">
          <a:avLst/>
        </a:prstGeom>
        <a:noFill/>
        <a:ln w="9525">
          <a:noFill/>
          <a:miter lim="800000"/>
          <a:headEnd/>
          <a:tailEnd/>
        </a:ln>
      </xdr:spPr>
    </xdr:sp>
    <xdr:clientData/>
  </xdr:twoCellAnchor>
  <xdr:twoCellAnchor editAs="oneCell">
    <xdr:from>
      <xdr:col>19</xdr:col>
      <xdr:colOff>85725</xdr:colOff>
      <xdr:row>327</xdr:row>
      <xdr:rowOff>0</xdr:rowOff>
    </xdr:from>
    <xdr:to>
      <xdr:col>19</xdr:col>
      <xdr:colOff>190500</xdr:colOff>
      <xdr:row>327</xdr:row>
      <xdr:rowOff>228600</xdr:rowOff>
    </xdr:to>
    <xdr:sp macro="" textlink="">
      <xdr:nvSpPr>
        <xdr:cNvPr id="111" name="Text Box 55">
          <a:extLst>
            <a:ext uri="{FF2B5EF4-FFF2-40B4-BE49-F238E27FC236}">
              <a16:creationId xmlns:a16="http://schemas.microsoft.com/office/drawing/2014/main" id="{B05A70F8-80CB-4E3A-A6FE-B6E2B934D414}"/>
            </a:ext>
          </a:extLst>
        </xdr:cNvPr>
        <xdr:cNvSpPr txBox="1">
          <a:spLocks noChangeArrowheads="1"/>
        </xdr:cNvSpPr>
      </xdr:nvSpPr>
      <xdr:spPr bwMode="auto">
        <a:xfrm>
          <a:off x="11249025" y="96021525"/>
          <a:ext cx="104775" cy="228600"/>
        </a:xfrm>
        <a:prstGeom prst="rect">
          <a:avLst/>
        </a:prstGeom>
        <a:noFill/>
        <a:ln w="9525">
          <a:noFill/>
          <a:miter lim="800000"/>
          <a:headEnd/>
          <a:tailEnd/>
        </a:ln>
      </xdr:spPr>
    </xdr:sp>
    <xdr:clientData/>
  </xdr:twoCellAnchor>
  <xdr:twoCellAnchor editAs="oneCell">
    <xdr:from>
      <xdr:col>19</xdr:col>
      <xdr:colOff>85725</xdr:colOff>
      <xdr:row>316</xdr:row>
      <xdr:rowOff>0</xdr:rowOff>
    </xdr:from>
    <xdr:to>
      <xdr:col>19</xdr:col>
      <xdr:colOff>190500</xdr:colOff>
      <xdr:row>317</xdr:row>
      <xdr:rowOff>15609</xdr:rowOff>
    </xdr:to>
    <xdr:sp macro="" textlink="">
      <xdr:nvSpPr>
        <xdr:cNvPr id="112" name="Text Box 56">
          <a:extLst>
            <a:ext uri="{FF2B5EF4-FFF2-40B4-BE49-F238E27FC236}">
              <a16:creationId xmlns:a16="http://schemas.microsoft.com/office/drawing/2014/main" id="{ADC9D016-F3CE-4FEE-9340-506E11A4B5F4}"/>
            </a:ext>
          </a:extLst>
        </xdr:cNvPr>
        <xdr:cNvSpPr txBox="1">
          <a:spLocks noChangeArrowheads="1"/>
        </xdr:cNvSpPr>
      </xdr:nvSpPr>
      <xdr:spPr bwMode="auto">
        <a:xfrm>
          <a:off x="11249025" y="93335475"/>
          <a:ext cx="104775" cy="225159"/>
        </a:xfrm>
        <a:prstGeom prst="rect">
          <a:avLst/>
        </a:prstGeom>
        <a:noFill/>
        <a:ln w="9525">
          <a:noFill/>
          <a:miter lim="800000"/>
          <a:headEnd/>
          <a:tailEnd/>
        </a:ln>
      </xdr:spPr>
    </xdr:sp>
    <xdr:clientData/>
  </xdr:twoCellAnchor>
  <xdr:twoCellAnchor editAs="oneCell">
    <xdr:from>
      <xdr:col>19</xdr:col>
      <xdr:colOff>85725</xdr:colOff>
      <xdr:row>315</xdr:row>
      <xdr:rowOff>0</xdr:rowOff>
    </xdr:from>
    <xdr:to>
      <xdr:col>19</xdr:col>
      <xdr:colOff>190500</xdr:colOff>
      <xdr:row>316</xdr:row>
      <xdr:rowOff>15610</xdr:rowOff>
    </xdr:to>
    <xdr:sp macro="" textlink="">
      <xdr:nvSpPr>
        <xdr:cNvPr id="113" name="Text Box 57">
          <a:extLst>
            <a:ext uri="{FF2B5EF4-FFF2-40B4-BE49-F238E27FC236}">
              <a16:creationId xmlns:a16="http://schemas.microsoft.com/office/drawing/2014/main" id="{BCE162DC-8EC0-4C33-9D67-9500939B16FE}"/>
            </a:ext>
          </a:extLst>
        </xdr:cNvPr>
        <xdr:cNvSpPr txBox="1">
          <a:spLocks noChangeArrowheads="1"/>
        </xdr:cNvSpPr>
      </xdr:nvSpPr>
      <xdr:spPr bwMode="auto">
        <a:xfrm>
          <a:off x="11249025" y="93125925"/>
          <a:ext cx="104775" cy="225160"/>
        </a:xfrm>
        <a:prstGeom prst="rect">
          <a:avLst/>
        </a:prstGeom>
        <a:noFill/>
        <a:ln w="9525">
          <a:noFill/>
          <a:miter lim="800000"/>
          <a:headEnd/>
          <a:tailEnd/>
        </a:ln>
      </xdr:spPr>
    </xdr:sp>
    <xdr:clientData/>
  </xdr:twoCellAnchor>
  <xdr:twoCellAnchor editAs="oneCell">
    <xdr:from>
      <xdr:col>19</xdr:col>
      <xdr:colOff>85725</xdr:colOff>
      <xdr:row>315</xdr:row>
      <xdr:rowOff>0</xdr:rowOff>
    </xdr:from>
    <xdr:to>
      <xdr:col>19</xdr:col>
      <xdr:colOff>190500</xdr:colOff>
      <xdr:row>316</xdr:row>
      <xdr:rowOff>15610</xdr:rowOff>
    </xdr:to>
    <xdr:sp macro="" textlink="">
      <xdr:nvSpPr>
        <xdr:cNvPr id="114" name="Text Box 58">
          <a:extLst>
            <a:ext uri="{FF2B5EF4-FFF2-40B4-BE49-F238E27FC236}">
              <a16:creationId xmlns:a16="http://schemas.microsoft.com/office/drawing/2014/main" id="{B2399077-25D4-4D92-9719-CEC040EABAF4}"/>
            </a:ext>
          </a:extLst>
        </xdr:cNvPr>
        <xdr:cNvSpPr txBox="1">
          <a:spLocks noChangeArrowheads="1"/>
        </xdr:cNvSpPr>
      </xdr:nvSpPr>
      <xdr:spPr bwMode="auto">
        <a:xfrm>
          <a:off x="11249025" y="93125925"/>
          <a:ext cx="104775" cy="225160"/>
        </a:xfrm>
        <a:prstGeom prst="rect">
          <a:avLst/>
        </a:prstGeom>
        <a:noFill/>
        <a:ln w="9525">
          <a:noFill/>
          <a:miter lim="800000"/>
          <a:headEnd/>
          <a:tailEnd/>
        </a:ln>
      </xdr:spPr>
    </xdr:sp>
    <xdr:clientData/>
  </xdr:twoCellAnchor>
  <xdr:twoCellAnchor editAs="oneCell">
    <xdr:from>
      <xdr:col>19</xdr:col>
      <xdr:colOff>85725</xdr:colOff>
      <xdr:row>265</xdr:row>
      <xdr:rowOff>0</xdr:rowOff>
    </xdr:from>
    <xdr:to>
      <xdr:col>19</xdr:col>
      <xdr:colOff>190500</xdr:colOff>
      <xdr:row>266</xdr:row>
      <xdr:rowOff>10585</xdr:rowOff>
    </xdr:to>
    <xdr:sp macro="" textlink="">
      <xdr:nvSpPr>
        <xdr:cNvPr id="115" name="Text Box 59">
          <a:extLst>
            <a:ext uri="{FF2B5EF4-FFF2-40B4-BE49-F238E27FC236}">
              <a16:creationId xmlns:a16="http://schemas.microsoft.com/office/drawing/2014/main" id="{D183342F-61BE-4ABF-9384-E90EC0FF9D8D}"/>
            </a:ext>
          </a:extLst>
        </xdr:cNvPr>
        <xdr:cNvSpPr txBox="1">
          <a:spLocks noChangeArrowheads="1"/>
        </xdr:cNvSpPr>
      </xdr:nvSpPr>
      <xdr:spPr bwMode="auto">
        <a:xfrm>
          <a:off x="11249025" y="82629375"/>
          <a:ext cx="104775" cy="220135"/>
        </a:xfrm>
        <a:prstGeom prst="rect">
          <a:avLst/>
        </a:prstGeom>
        <a:noFill/>
        <a:ln w="9525">
          <a:noFill/>
          <a:miter lim="800000"/>
          <a:headEnd/>
          <a:tailEnd/>
        </a:ln>
      </xdr:spPr>
    </xdr:sp>
    <xdr:clientData/>
  </xdr:twoCellAnchor>
  <xdr:twoCellAnchor editAs="oneCell">
    <xdr:from>
      <xdr:col>19</xdr:col>
      <xdr:colOff>85725</xdr:colOff>
      <xdr:row>314</xdr:row>
      <xdr:rowOff>0</xdr:rowOff>
    </xdr:from>
    <xdr:to>
      <xdr:col>19</xdr:col>
      <xdr:colOff>190500</xdr:colOff>
      <xdr:row>315</xdr:row>
      <xdr:rowOff>15610</xdr:rowOff>
    </xdr:to>
    <xdr:sp macro="" textlink="">
      <xdr:nvSpPr>
        <xdr:cNvPr id="116" name="Text Box 64">
          <a:extLst>
            <a:ext uri="{FF2B5EF4-FFF2-40B4-BE49-F238E27FC236}">
              <a16:creationId xmlns:a16="http://schemas.microsoft.com/office/drawing/2014/main" id="{ECA78826-2B76-4952-B1A8-84B030CCC65D}"/>
            </a:ext>
          </a:extLst>
        </xdr:cNvPr>
        <xdr:cNvSpPr txBox="1">
          <a:spLocks noChangeArrowheads="1"/>
        </xdr:cNvSpPr>
      </xdr:nvSpPr>
      <xdr:spPr bwMode="auto">
        <a:xfrm>
          <a:off x="11249025" y="92916375"/>
          <a:ext cx="104775" cy="225160"/>
        </a:xfrm>
        <a:prstGeom prst="rect">
          <a:avLst/>
        </a:prstGeom>
        <a:noFill/>
        <a:ln w="9525">
          <a:noFill/>
          <a:miter lim="800000"/>
          <a:headEnd/>
          <a:tailEnd/>
        </a:ln>
      </xdr:spPr>
    </xdr:sp>
    <xdr:clientData/>
  </xdr:twoCellAnchor>
  <xdr:twoCellAnchor editAs="oneCell">
    <xdr:from>
      <xdr:col>19</xdr:col>
      <xdr:colOff>85725</xdr:colOff>
      <xdr:row>314</xdr:row>
      <xdr:rowOff>0</xdr:rowOff>
    </xdr:from>
    <xdr:to>
      <xdr:col>19</xdr:col>
      <xdr:colOff>190500</xdr:colOff>
      <xdr:row>315</xdr:row>
      <xdr:rowOff>15610</xdr:rowOff>
    </xdr:to>
    <xdr:sp macro="" textlink="">
      <xdr:nvSpPr>
        <xdr:cNvPr id="117" name="Text Box 65">
          <a:extLst>
            <a:ext uri="{FF2B5EF4-FFF2-40B4-BE49-F238E27FC236}">
              <a16:creationId xmlns:a16="http://schemas.microsoft.com/office/drawing/2014/main" id="{EC98D351-D562-4804-87CE-C9A301FB88B4}"/>
            </a:ext>
          </a:extLst>
        </xdr:cNvPr>
        <xdr:cNvSpPr txBox="1">
          <a:spLocks noChangeArrowheads="1"/>
        </xdr:cNvSpPr>
      </xdr:nvSpPr>
      <xdr:spPr bwMode="auto">
        <a:xfrm>
          <a:off x="11249025" y="92916375"/>
          <a:ext cx="104775" cy="225160"/>
        </a:xfrm>
        <a:prstGeom prst="rect">
          <a:avLst/>
        </a:prstGeom>
        <a:noFill/>
        <a:ln w="9525">
          <a:noFill/>
          <a:miter lim="800000"/>
          <a:headEnd/>
          <a:tailEnd/>
        </a:ln>
      </xdr:spPr>
    </xdr:sp>
    <xdr:clientData/>
  </xdr:twoCellAnchor>
  <xdr:twoCellAnchor editAs="oneCell">
    <xdr:from>
      <xdr:col>19</xdr:col>
      <xdr:colOff>85725</xdr:colOff>
      <xdr:row>314</xdr:row>
      <xdr:rowOff>0</xdr:rowOff>
    </xdr:from>
    <xdr:to>
      <xdr:col>19</xdr:col>
      <xdr:colOff>190500</xdr:colOff>
      <xdr:row>315</xdr:row>
      <xdr:rowOff>15610</xdr:rowOff>
    </xdr:to>
    <xdr:sp macro="" textlink="">
      <xdr:nvSpPr>
        <xdr:cNvPr id="118" name="Text Box 66">
          <a:extLst>
            <a:ext uri="{FF2B5EF4-FFF2-40B4-BE49-F238E27FC236}">
              <a16:creationId xmlns:a16="http://schemas.microsoft.com/office/drawing/2014/main" id="{2E2284B7-68C3-4F6C-A325-43A2A085FEB6}"/>
            </a:ext>
          </a:extLst>
        </xdr:cNvPr>
        <xdr:cNvSpPr txBox="1">
          <a:spLocks noChangeArrowheads="1"/>
        </xdr:cNvSpPr>
      </xdr:nvSpPr>
      <xdr:spPr bwMode="auto">
        <a:xfrm>
          <a:off x="11249025" y="92916375"/>
          <a:ext cx="104775" cy="225160"/>
        </a:xfrm>
        <a:prstGeom prst="rect">
          <a:avLst/>
        </a:prstGeom>
        <a:noFill/>
        <a:ln w="9525">
          <a:noFill/>
          <a:miter lim="800000"/>
          <a:headEnd/>
          <a:tailEnd/>
        </a:ln>
      </xdr:spPr>
    </xdr:sp>
    <xdr:clientData/>
  </xdr:twoCellAnchor>
  <xdr:twoCellAnchor editAs="oneCell">
    <xdr:from>
      <xdr:col>19</xdr:col>
      <xdr:colOff>85725</xdr:colOff>
      <xdr:row>314</xdr:row>
      <xdr:rowOff>0</xdr:rowOff>
    </xdr:from>
    <xdr:to>
      <xdr:col>19</xdr:col>
      <xdr:colOff>190500</xdr:colOff>
      <xdr:row>315</xdr:row>
      <xdr:rowOff>15610</xdr:rowOff>
    </xdr:to>
    <xdr:sp macro="" textlink="">
      <xdr:nvSpPr>
        <xdr:cNvPr id="119" name="Text Box 67">
          <a:extLst>
            <a:ext uri="{FF2B5EF4-FFF2-40B4-BE49-F238E27FC236}">
              <a16:creationId xmlns:a16="http://schemas.microsoft.com/office/drawing/2014/main" id="{5CE6AE53-340B-49F5-A033-6B41046A9944}"/>
            </a:ext>
          </a:extLst>
        </xdr:cNvPr>
        <xdr:cNvSpPr txBox="1">
          <a:spLocks noChangeArrowheads="1"/>
        </xdr:cNvSpPr>
      </xdr:nvSpPr>
      <xdr:spPr bwMode="auto">
        <a:xfrm>
          <a:off x="11249025" y="92916375"/>
          <a:ext cx="104775" cy="225160"/>
        </a:xfrm>
        <a:prstGeom prst="rect">
          <a:avLst/>
        </a:prstGeom>
        <a:noFill/>
        <a:ln w="9525">
          <a:noFill/>
          <a:miter lim="800000"/>
          <a:headEnd/>
          <a:tailEnd/>
        </a:ln>
      </xdr:spPr>
    </xdr:sp>
    <xdr:clientData/>
  </xdr:twoCellAnchor>
  <xdr:twoCellAnchor editAs="oneCell">
    <xdr:from>
      <xdr:col>19</xdr:col>
      <xdr:colOff>85725</xdr:colOff>
      <xdr:row>315</xdr:row>
      <xdr:rowOff>0</xdr:rowOff>
    </xdr:from>
    <xdr:to>
      <xdr:col>19</xdr:col>
      <xdr:colOff>190500</xdr:colOff>
      <xdr:row>316</xdr:row>
      <xdr:rowOff>15610</xdr:rowOff>
    </xdr:to>
    <xdr:sp macro="" textlink="">
      <xdr:nvSpPr>
        <xdr:cNvPr id="120" name="Text Box 68">
          <a:extLst>
            <a:ext uri="{FF2B5EF4-FFF2-40B4-BE49-F238E27FC236}">
              <a16:creationId xmlns:a16="http://schemas.microsoft.com/office/drawing/2014/main" id="{CA90A908-A055-4EB0-ACE1-6296EF33EA0A}"/>
            </a:ext>
          </a:extLst>
        </xdr:cNvPr>
        <xdr:cNvSpPr txBox="1">
          <a:spLocks noChangeArrowheads="1"/>
        </xdr:cNvSpPr>
      </xdr:nvSpPr>
      <xdr:spPr bwMode="auto">
        <a:xfrm>
          <a:off x="11249025" y="93125925"/>
          <a:ext cx="104775" cy="225160"/>
        </a:xfrm>
        <a:prstGeom prst="rect">
          <a:avLst/>
        </a:prstGeom>
        <a:noFill/>
        <a:ln w="9525">
          <a:noFill/>
          <a:miter lim="800000"/>
          <a:headEnd/>
          <a:tailEnd/>
        </a:ln>
      </xdr:spPr>
    </xdr:sp>
    <xdr:clientData/>
  </xdr:twoCellAnchor>
  <xdr:twoCellAnchor editAs="oneCell">
    <xdr:from>
      <xdr:col>19</xdr:col>
      <xdr:colOff>85725</xdr:colOff>
      <xdr:row>315</xdr:row>
      <xdr:rowOff>0</xdr:rowOff>
    </xdr:from>
    <xdr:to>
      <xdr:col>19</xdr:col>
      <xdr:colOff>190500</xdr:colOff>
      <xdr:row>316</xdr:row>
      <xdr:rowOff>15610</xdr:rowOff>
    </xdr:to>
    <xdr:sp macro="" textlink="">
      <xdr:nvSpPr>
        <xdr:cNvPr id="121" name="Text Box 69">
          <a:extLst>
            <a:ext uri="{FF2B5EF4-FFF2-40B4-BE49-F238E27FC236}">
              <a16:creationId xmlns:a16="http://schemas.microsoft.com/office/drawing/2014/main" id="{FFF52BC4-30FA-4B5A-ACF8-8C74D8F71CDF}"/>
            </a:ext>
          </a:extLst>
        </xdr:cNvPr>
        <xdr:cNvSpPr txBox="1">
          <a:spLocks noChangeArrowheads="1"/>
        </xdr:cNvSpPr>
      </xdr:nvSpPr>
      <xdr:spPr bwMode="auto">
        <a:xfrm>
          <a:off x="11249025" y="93125925"/>
          <a:ext cx="104775" cy="225160"/>
        </a:xfrm>
        <a:prstGeom prst="rect">
          <a:avLst/>
        </a:prstGeom>
        <a:noFill/>
        <a:ln w="9525">
          <a:noFill/>
          <a:miter lim="800000"/>
          <a:headEnd/>
          <a:tailEnd/>
        </a:ln>
      </xdr:spPr>
    </xdr:sp>
    <xdr:clientData/>
  </xdr:twoCellAnchor>
  <xdr:twoCellAnchor editAs="oneCell">
    <xdr:from>
      <xdr:col>19</xdr:col>
      <xdr:colOff>85725</xdr:colOff>
      <xdr:row>315</xdr:row>
      <xdr:rowOff>0</xdr:rowOff>
    </xdr:from>
    <xdr:to>
      <xdr:col>19</xdr:col>
      <xdr:colOff>190500</xdr:colOff>
      <xdr:row>316</xdr:row>
      <xdr:rowOff>15610</xdr:rowOff>
    </xdr:to>
    <xdr:sp macro="" textlink="">
      <xdr:nvSpPr>
        <xdr:cNvPr id="122" name="Text Box 70">
          <a:extLst>
            <a:ext uri="{FF2B5EF4-FFF2-40B4-BE49-F238E27FC236}">
              <a16:creationId xmlns:a16="http://schemas.microsoft.com/office/drawing/2014/main" id="{E41EE199-E021-477C-97B4-39B19AC85CE9}"/>
            </a:ext>
          </a:extLst>
        </xdr:cNvPr>
        <xdr:cNvSpPr txBox="1">
          <a:spLocks noChangeArrowheads="1"/>
        </xdr:cNvSpPr>
      </xdr:nvSpPr>
      <xdr:spPr bwMode="auto">
        <a:xfrm>
          <a:off x="11249025" y="93125925"/>
          <a:ext cx="104775" cy="225160"/>
        </a:xfrm>
        <a:prstGeom prst="rect">
          <a:avLst/>
        </a:prstGeom>
        <a:noFill/>
        <a:ln w="9525">
          <a:noFill/>
          <a:miter lim="800000"/>
          <a:headEnd/>
          <a:tailEnd/>
        </a:ln>
      </xdr:spPr>
    </xdr:sp>
    <xdr:clientData/>
  </xdr:twoCellAnchor>
  <xdr:twoCellAnchor editAs="oneCell">
    <xdr:from>
      <xdr:col>19</xdr:col>
      <xdr:colOff>85725</xdr:colOff>
      <xdr:row>315</xdr:row>
      <xdr:rowOff>0</xdr:rowOff>
    </xdr:from>
    <xdr:to>
      <xdr:col>19</xdr:col>
      <xdr:colOff>190500</xdr:colOff>
      <xdr:row>316</xdr:row>
      <xdr:rowOff>15610</xdr:rowOff>
    </xdr:to>
    <xdr:sp macro="" textlink="">
      <xdr:nvSpPr>
        <xdr:cNvPr id="123" name="Text Box 71">
          <a:extLst>
            <a:ext uri="{FF2B5EF4-FFF2-40B4-BE49-F238E27FC236}">
              <a16:creationId xmlns:a16="http://schemas.microsoft.com/office/drawing/2014/main" id="{7AE647B3-FF12-48DA-87E4-F1018498AA76}"/>
            </a:ext>
          </a:extLst>
        </xdr:cNvPr>
        <xdr:cNvSpPr txBox="1">
          <a:spLocks noChangeArrowheads="1"/>
        </xdr:cNvSpPr>
      </xdr:nvSpPr>
      <xdr:spPr bwMode="auto">
        <a:xfrm>
          <a:off x="11249025" y="93125925"/>
          <a:ext cx="104775" cy="225160"/>
        </a:xfrm>
        <a:prstGeom prst="rect">
          <a:avLst/>
        </a:prstGeom>
        <a:noFill/>
        <a:ln w="9525">
          <a:noFill/>
          <a:miter lim="800000"/>
          <a:headEnd/>
          <a:tailEnd/>
        </a:ln>
      </xdr:spPr>
    </xdr:sp>
    <xdr:clientData/>
  </xdr:twoCellAnchor>
  <xdr:twoCellAnchor editAs="oneCell">
    <xdr:from>
      <xdr:col>19</xdr:col>
      <xdr:colOff>85725</xdr:colOff>
      <xdr:row>267</xdr:row>
      <xdr:rowOff>0</xdr:rowOff>
    </xdr:from>
    <xdr:to>
      <xdr:col>19</xdr:col>
      <xdr:colOff>190500</xdr:colOff>
      <xdr:row>268</xdr:row>
      <xdr:rowOff>15612</xdr:rowOff>
    </xdr:to>
    <xdr:sp macro="" textlink="">
      <xdr:nvSpPr>
        <xdr:cNvPr id="124" name="Text Box 72">
          <a:extLst>
            <a:ext uri="{FF2B5EF4-FFF2-40B4-BE49-F238E27FC236}">
              <a16:creationId xmlns:a16="http://schemas.microsoft.com/office/drawing/2014/main" id="{31DBBF03-3400-4D76-A9F4-A313D758CA75}"/>
            </a:ext>
          </a:extLst>
        </xdr:cNvPr>
        <xdr:cNvSpPr txBox="1">
          <a:spLocks noChangeArrowheads="1"/>
        </xdr:cNvSpPr>
      </xdr:nvSpPr>
      <xdr:spPr bwMode="auto">
        <a:xfrm>
          <a:off x="11249025" y="83048475"/>
          <a:ext cx="104775" cy="225162"/>
        </a:xfrm>
        <a:prstGeom prst="rect">
          <a:avLst/>
        </a:prstGeom>
        <a:noFill/>
        <a:ln w="9525">
          <a:noFill/>
          <a:miter lim="800000"/>
          <a:headEnd/>
          <a:tailEnd/>
        </a:ln>
      </xdr:spPr>
    </xdr:sp>
    <xdr:clientData/>
  </xdr:twoCellAnchor>
  <xdr:twoCellAnchor editAs="oneCell">
    <xdr:from>
      <xdr:col>19</xdr:col>
      <xdr:colOff>85725</xdr:colOff>
      <xdr:row>317</xdr:row>
      <xdr:rowOff>0</xdr:rowOff>
    </xdr:from>
    <xdr:to>
      <xdr:col>19</xdr:col>
      <xdr:colOff>190500</xdr:colOff>
      <xdr:row>318</xdr:row>
      <xdr:rowOff>11908</xdr:rowOff>
    </xdr:to>
    <xdr:sp macro="" textlink="">
      <xdr:nvSpPr>
        <xdr:cNvPr id="125" name="Text Box 73">
          <a:extLst>
            <a:ext uri="{FF2B5EF4-FFF2-40B4-BE49-F238E27FC236}">
              <a16:creationId xmlns:a16="http://schemas.microsoft.com/office/drawing/2014/main" id="{7DB44908-5C3E-4EA0-8375-F0EB62013CDF}"/>
            </a:ext>
          </a:extLst>
        </xdr:cNvPr>
        <xdr:cNvSpPr txBox="1">
          <a:spLocks noChangeArrowheads="1"/>
        </xdr:cNvSpPr>
      </xdr:nvSpPr>
      <xdr:spPr bwMode="auto">
        <a:xfrm>
          <a:off x="11249025" y="93545025"/>
          <a:ext cx="104775" cy="221458"/>
        </a:xfrm>
        <a:prstGeom prst="rect">
          <a:avLst/>
        </a:prstGeom>
        <a:noFill/>
        <a:ln w="9525">
          <a:noFill/>
          <a:miter lim="800000"/>
          <a:headEnd/>
          <a:tailEnd/>
        </a:ln>
      </xdr:spPr>
    </xdr:sp>
    <xdr:clientData/>
  </xdr:twoCellAnchor>
  <xdr:twoCellAnchor editAs="oneCell">
    <xdr:from>
      <xdr:col>19</xdr:col>
      <xdr:colOff>85725</xdr:colOff>
      <xdr:row>317</xdr:row>
      <xdr:rowOff>0</xdr:rowOff>
    </xdr:from>
    <xdr:to>
      <xdr:col>19</xdr:col>
      <xdr:colOff>190500</xdr:colOff>
      <xdr:row>318</xdr:row>
      <xdr:rowOff>11908</xdr:rowOff>
    </xdr:to>
    <xdr:sp macro="" textlink="">
      <xdr:nvSpPr>
        <xdr:cNvPr id="126" name="Text Box 74">
          <a:extLst>
            <a:ext uri="{FF2B5EF4-FFF2-40B4-BE49-F238E27FC236}">
              <a16:creationId xmlns:a16="http://schemas.microsoft.com/office/drawing/2014/main" id="{27D3AE5E-7718-4695-BFF2-B36D9F7EEE86}"/>
            </a:ext>
          </a:extLst>
        </xdr:cNvPr>
        <xdr:cNvSpPr txBox="1">
          <a:spLocks noChangeArrowheads="1"/>
        </xdr:cNvSpPr>
      </xdr:nvSpPr>
      <xdr:spPr bwMode="auto">
        <a:xfrm>
          <a:off x="11249025" y="93545025"/>
          <a:ext cx="104775" cy="221458"/>
        </a:xfrm>
        <a:prstGeom prst="rect">
          <a:avLst/>
        </a:prstGeom>
        <a:noFill/>
        <a:ln w="9525">
          <a:noFill/>
          <a:miter lim="800000"/>
          <a:headEnd/>
          <a:tailEnd/>
        </a:ln>
      </xdr:spPr>
    </xdr:sp>
    <xdr:clientData/>
  </xdr:twoCellAnchor>
  <xdr:twoCellAnchor editAs="oneCell">
    <xdr:from>
      <xdr:col>19</xdr:col>
      <xdr:colOff>85725</xdr:colOff>
      <xdr:row>316</xdr:row>
      <xdr:rowOff>0</xdr:rowOff>
    </xdr:from>
    <xdr:to>
      <xdr:col>19</xdr:col>
      <xdr:colOff>190500</xdr:colOff>
      <xdr:row>317</xdr:row>
      <xdr:rowOff>15609</xdr:rowOff>
    </xdr:to>
    <xdr:sp macro="" textlink="">
      <xdr:nvSpPr>
        <xdr:cNvPr id="127" name="Text Box 77">
          <a:extLst>
            <a:ext uri="{FF2B5EF4-FFF2-40B4-BE49-F238E27FC236}">
              <a16:creationId xmlns:a16="http://schemas.microsoft.com/office/drawing/2014/main" id="{BE1CCB57-6721-454F-B923-4E5DF4F5851A}"/>
            </a:ext>
          </a:extLst>
        </xdr:cNvPr>
        <xdr:cNvSpPr txBox="1">
          <a:spLocks noChangeArrowheads="1"/>
        </xdr:cNvSpPr>
      </xdr:nvSpPr>
      <xdr:spPr bwMode="auto">
        <a:xfrm>
          <a:off x="11249025" y="93335475"/>
          <a:ext cx="104775" cy="225159"/>
        </a:xfrm>
        <a:prstGeom prst="rect">
          <a:avLst/>
        </a:prstGeom>
        <a:noFill/>
        <a:ln w="9525">
          <a:noFill/>
          <a:miter lim="800000"/>
          <a:headEnd/>
          <a:tailEnd/>
        </a:ln>
      </xdr:spPr>
    </xdr:sp>
    <xdr:clientData/>
  </xdr:twoCellAnchor>
  <xdr:twoCellAnchor editAs="oneCell">
    <xdr:from>
      <xdr:col>19</xdr:col>
      <xdr:colOff>85725</xdr:colOff>
      <xdr:row>316</xdr:row>
      <xdr:rowOff>0</xdr:rowOff>
    </xdr:from>
    <xdr:to>
      <xdr:col>19</xdr:col>
      <xdr:colOff>190500</xdr:colOff>
      <xdr:row>317</xdr:row>
      <xdr:rowOff>15609</xdr:rowOff>
    </xdr:to>
    <xdr:sp macro="" textlink="">
      <xdr:nvSpPr>
        <xdr:cNvPr id="128" name="Text Box 78">
          <a:extLst>
            <a:ext uri="{FF2B5EF4-FFF2-40B4-BE49-F238E27FC236}">
              <a16:creationId xmlns:a16="http://schemas.microsoft.com/office/drawing/2014/main" id="{AC2C019D-7049-472F-89B5-31519F769922}"/>
            </a:ext>
          </a:extLst>
        </xdr:cNvPr>
        <xdr:cNvSpPr txBox="1">
          <a:spLocks noChangeArrowheads="1"/>
        </xdr:cNvSpPr>
      </xdr:nvSpPr>
      <xdr:spPr bwMode="auto">
        <a:xfrm>
          <a:off x="11249025" y="93335475"/>
          <a:ext cx="104775" cy="225159"/>
        </a:xfrm>
        <a:prstGeom prst="rect">
          <a:avLst/>
        </a:prstGeom>
        <a:noFill/>
        <a:ln w="9525">
          <a:noFill/>
          <a:miter lim="800000"/>
          <a:headEnd/>
          <a:tailEnd/>
        </a:ln>
      </xdr:spPr>
    </xdr:sp>
    <xdr:clientData/>
  </xdr:twoCellAnchor>
  <xdr:twoCellAnchor editAs="oneCell">
    <xdr:from>
      <xdr:col>19</xdr:col>
      <xdr:colOff>85725</xdr:colOff>
      <xdr:row>316</xdr:row>
      <xdr:rowOff>0</xdr:rowOff>
    </xdr:from>
    <xdr:to>
      <xdr:col>19</xdr:col>
      <xdr:colOff>190500</xdr:colOff>
      <xdr:row>317</xdr:row>
      <xdr:rowOff>15609</xdr:rowOff>
    </xdr:to>
    <xdr:sp macro="" textlink="">
      <xdr:nvSpPr>
        <xdr:cNvPr id="129" name="Text Box 79">
          <a:extLst>
            <a:ext uri="{FF2B5EF4-FFF2-40B4-BE49-F238E27FC236}">
              <a16:creationId xmlns:a16="http://schemas.microsoft.com/office/drawing/2014/main" id="{0B22D081-5B94-453C-A49F-36DF0B905157}"/>
            </a:ext>
          </a:extLst>
        </xdr:cNvPr>
        <xdr:cNvSpPr txBox="1">
          <a:spLocks noChangeArrowheads="1"/>
        </xdr:cNvSpPr>
      </xdr:nvSpPr>
      <xdr:spPr bwMode="auto">
        <a:xfrm>
          <a:off x="11249025" y="93335475"/>
          <a:ext cx="104775" cy="225159"/>
        </a:xfrm>
        <a:prstGeom prst="rect">
          <a:avLst/>
        </a:prstGeom>
        <a:noFill/>
        <a:ln w="9525">
          <a:noFill/>
          <a:miter lim="800000"/>
          <a:headEnd/>
          <a:tailEnd/>
        </a:ln>
      </xdr:spPr>
    </xdr:sp>
    <xdr:clientData/>
  </xdr:twoCellAnchor>
  <xdr:twoCellAnchor editAs="oneCell">
    <xdr:from>
      <xdr:col>19</xdr:col>
      <xdr:colOff>85725</xdr:colOff>
      <xdr:row>316</xdr:row>
      <xdr:rowOff>0</xdr:rowOff>
    </xdr:from>
    <xdr:to>
      <xdr:col>19</xdr:col>
      <xdr:colOff>190500</xdr:colOff>
      <xdr:row>317</xdr:row>
      <xdr:rowOff>15609</xdr:rowOff>
    </xdr:to>
    <xdr:sp macro="" textlink="">
      <xdr:nvSpPr>
        <xdr:cNvPr id="130" name="Text Box 80">
          <a:extLst>
            <a:ext uri="{FF2B5EF4-FFF2-40B4-BE49-F238E27FC236}">
              <a16:creationId xmlns:a16="http://schemas.microsoft.com/office/drawing/2014/main" id="{35F269A4-7095-462C-BB5E-C949391FB238}"/>
            </a:ext>
          </a:extLst>
        </xdr:cNvPr>
        <xdr:cNvSpPr txBox="1">
          <a:spLocks noChangeArrowheads="1"/>
        </xdr:cNvSpPr>
      </xdr:nvSpPr>
      <xdr:spPr bwMode="auto">
        <a:xfrm>
          <a:off x="11249025" y="93335475"/>
          <a:ext cx="104775" cy="225159"/>
        </a:xfrm>
        <a:prstGeom prst="rect">
          <a:avLst/>
        </a:prstGeom>
        <a:noFill/>
        <a:ln w="9525">
          <a:noFill/>
          <a:miter lim="800000"/>
          <a:headEnd/>
          <a:tailEnd/>
        </a:ln>
      </xdr:spPr>
    </xdr:sp>
    <xdr:clientData/>
  </xdr:twoCellAnchor>
  <xdr:twoCellAnchor editAs="oneCell">
    <xdr:from>
      <xdr:col>19</xdr:col>
      <xdr:colOff>85725</xdr:colOff>
      <xdr:row>315</xdr:row>
      <xdr:rowOff>0</xdr:rowOff>
    </xdr:from>
    <xdr:to>
      <xdr:col>19</xdr:col>
      <xdr:colOff>190500</xdr:colOff>
      <xdr:row>316</xdr:row>
      <xdr:rowOff>15610</xdr:rowOff>
    </xdr:to>
    <xdr:sp macro="" textlink="">
      <xdr:nvSpPr>
        <xdr:cNvPr id="131" name="Text Box 81">
          <a:extLst>
            <a:ext uri="{FF2B5EF4-FFF2-40B4-BE49-F238E27FC236}">
              <a16:creationId xmlns:a16="http://schemas.microsoft.com/office/drawing/2014/main" id="{C3E0863E-2F54-4B43-9423-3DCE5A83C6F3}"/>
            </a:ext>
          </a:extLst>
        </xdr:cNvPr>
        <xdr:cNvSpPr txBox="1">
          <a:spLocks noChangeArrowheads="1"/>
        </xdr:cNvSpPr>
      </xdr:nvSpPr>
      <xdr:spPr bwMode="auto">
        <a:xfrm>
          <a:off x="11249025" y="93125925"/>
          <a:ext cx="104775" cy="225160"/>
        </a:xfrm>
        <a:prstGeom prst="rect">
          <a:avLst/>
        </a:prstGeom>
        <a:noFill/>
        <a:ln w="9525">
          <a:noFill/>
          <a:miter lim="800000"/>
          <a:headEnd/>
          <a:tailEnd/>
        </a:ln>
      </xdr:spPr>
    </xdr:sp>
    <xdr:clientData/>
  </xdr:twoCellAnchor>
  <xdr:twoCellAnchor editAs="oneCell">
    <xdr:from>
      <xdr:col>19</xdr:col>
      <xdr:colOff>85725</xdr:colOff>
      <xdr:row>315</xdr:row>
      <xdr:rowOff>0</xdr:rowOff>
    </xdr:from>
    <xdr:to>
      <xdr:col>19</xdr:col>
      <xdr:colOff>190500</xdr:colOff>
      <xdr:row>316</xdr:row>
      <xdr:rowOff>15610</xdr:rowOff>
    </xdr:to>
    <xdr:sp macro="" textlink="">
      <xdr:nvSpPr>
        <xdr:cNvPr id="132" name="Text Box 82">
          <a:extLst>
            <a:ext uri="{FF2B5EF4-FFF2-40B4-BE49-F238E27FC236}">
              <a16:creationId xmlns:a16="http://schemas.microsoft.com/office/drawing/2014/main" id="{5B357025-3C95-4497-B580-13B459BB950A}"/>
            </a:ext>
          </a:extLst>
        </xdr:cNvPr>
        <xdr:cNvSpPr txBox="1">
          <a:spLocks noChangeArrowheads="1"/>
        </xdr:cNvSpPr>
      </xdr:nvSpPr>
      <xdr:spPr bwMode="auto">
        <a:xfrm>
          <a:off x="11249025" y="93125925"/>
          <a:ext cx="104775" cy="225160"/>
        </a:xfrm>
        <a:prstGeom prst="rect">
          <a:avLst/>
        </a:prstGeom>
        <a:noFill/>
        <a:ln w="9525">
          <a:noFill/>
          <a:miter lim="800000"/>
          <a:headEnd/>
          <a:tailEnd/>
        </a:ln>
      </xdr:spPr>
    </xdr:sp>
    <xdr:clientData/>
  </xdr:twoCellAnchor>
  <xdr:twoCellAnchor editAs="oneCell">
    <xdr:from>
      <xdr:col>19</xdr:col>
      <xdr:colOff>85725</xdr:colOff>
      <xdr:row>315</xdr:row>
      <xdr:rowOff>0</xdr:rowOff>
    </xdr:from>
    <xdr:to>
      <xdr:col>19</xdr:col>
      <xdr:colOff>190500</xdr:colOff>
      <xdr:row>316</xdr:row>
      <xdr:rowOff>15610</xdr:rowOff>
    </xdr:to>
    <xdr:sp macro="" textlink="">
      <xdr:nvSpPr>
        <xdr:cNvPr id="133" name="Text Box 83">
          <a:extLst>
            <a:ext uri="{FF2B5EF4-FFF2-40B4-BE49-F238E27FC236}">
              <a16:creationId xmlns:a16="http://schemas.microsoft.com/office/drawing/2014/main" id="{0472B23A-1F97-4359-A7DE-5676C784876B}"/>
            </a:ext>
          </a:extLst>
        </xdr:cNvPr>
        <xdr:cNvSpPr txBox="1">
          <a:spLocks noChangeArrowheads="1"/>
        </xdr:cNvSpPr>
      </xdr:nvSpPr>
      <xdr:spPr bwMode="auto">
        <a:xfrm>
          <a:off x="11249025" y="93125925"/>
          <a:ext cx="104775" cy="225160"/>
        </a:xfrm>
        <a:prstGeom prst="rect">
          <a:avLst/>
        </a:prstGeom>
        <a:noFill/>
        <a:ln w="9525">
          <a:noFill/>
          <a:miter lim="800000"/>
          <a:headEnd/>
          <a:tailEnd/>
        </a:ln>
      </xdr:spPr>
    </xdr:sp>
    <xdr:clientData/>
  </xdr:twoCellAnchor>
  <xdr:twoCellAnchor editAs="oneCell">
    <xdr:from>
      <xdr:col>19</xdr:col>
      <xdr:colOff>85725</xdr:colOff>
      <xdr:row>315</xdr:row>
      <xdr:rowOff>0</xdr:rowOff>
    </xdr:from>
    <xdr:to>
      <xdr:col>19</xdr:col>
      <xdr:colOff>190500</xdr:colOff>
      <xdr:row>316</xdr:row>
      <xdr:rowOff>15610</xdr:rowOff>
    </xdr:to>
    <xdr:sp macro="" textlink="">
      <xdr:nvSpPr>
        <xdr:cNvPr id="134" name="Text Box 84">
          <a:extLst>
            <a:ext uri="{FF2B5EF4-FFF2-40B4-BE49-F238E27FC236}">
              <a16:creationId xmlns:a16="http://schemas.microsoft.com/office/drawing/2014/main" id="{91DC5216-CB97-4026-800D-2616BACD4BF4}"/>
            </a:ext>
          </a:extLst>
        </xdr:cNvPr>
        <xdr:cNvSpPr txBox="1">
          <a:spLocks noChangeArrowheads="1"/>
        </xdr:cNvSpPr>
      </xdr:nvSpPr>
      <xdr:spPr bwMode="auto">
        <a:xfrm>
          <a:off x="11249025" y="93125925"/>
          <a:ext cx="104775" cy="225160"/>
        </a:xfrm>
        <a:prstGeom prst="rect">
          <a:avLst/>
        </a:prstGeom>
        <a:noFill/>
        <a:ln w="9525">
          <a:noFill/>
          <a:miter lim="800000"/>
          <a:headEnd/>
          <a:tailEnd/>
        </a:ln>
      </xdr:spPr>
    </xdr:sp>
    <xdr:clientData/>
  </xdr:twoCellAnchor>
  <xdr:twoCellAnchor editAs="oneCell">
    <xdr:from>
      <xdr:col>19</xdr:col>
      <xdr:colOff>85725</xdr:colOff>
      <xdr:row>314</xdr:row>
      <xdr:rowOff>0</xdr:rowOff>
    </xdr:from>
    <xdr:to>
      <xdr:col>19</xdr:col>
      <xdr:colOff>190500</xdr:colOff>
      <xdr:row>315</xdr:row>
      <xdr:rowOff>15609</xdr:rowOff>
    </xdr:to>
    <xdr:sp macro="" textlink="">
      <xdr:nvSpPr>
        <xdr:cNvPr id="135" name="Text Box 90">
          <a:extLst>
            <a:ext uri="{FF2B5EF4-FFF2-40B4-BE49-F238E27FC236}">
              <a16:creationId xmlns:a16="http://schemas.microsoft.com/office/drawing/2014/main" id="{B8058F3B-F379-4780-A637-F437ECE5D540}"/>
            </a:ext>
          </a:extLst>
        </xdr:cNvPr>
        <xdr:cNvSpPr txBox="1">
          <a:spLocks noChangeArrowheads="1"/>
        </xdr:cNvSpPr>
      </xdr:nvSpPr>
      <xdr:spPr bwMode="auto">
        <a:xfrm>
          <a:off x="11249025" y="92916375"/>
          <a:ext cx="104775" cy="225159"/>
        </a:xfrm>
        <a:prstGeom prst="rect">
          <a:avLst/>
        </a:prstGeom>
        <a:noFill/>
        <a:ln w="9525">
          <a:noFill/>
          <a:miter lim="800000"/>
          <a:headEnd/>
          <a:tailEnd/>
        </a:ln>
      </xdr:spPr>
    </xdr:sp>
    <xdr:clientData/>
  </xdr:twoCellAnchor>
  <xdr:twoCellAnchor editAs="oneCell">
    <xdr:from>
      <xdr:col>19</xdr:col>
      <xdr:colOff>85725</xdr:colOff>
      <xdr:row>314</xdr:row>
      <xdr:rowOff>0</xdr:rowOff>
    </xdr:from>
    <xdr:to>
      <xdr:col>19</xdr:col>
      <xdr:colOff>190500</xdr:colOff>
      <xdr:row>315</xdr:row>
      <xdr:rowOff>15609</xdr:rowOff>
    </xdr:to>
    <xdr:sp macro="" textlink="">
      <xdr:nvSpPr>
        <xdr:cNvPr id="136" name="Text Box 91">
          <a:extLst>
            <a:ext uri="{FF2B5EF4-FFF2-40B4-BE49-F238E27FC236}">
              <a16:creationId xmlns:a16="http://schemas.microsoft.com/office/drawing/2014/main" id="{DCA73424-A646-486F-B4E5-6A9842529E22}"/>
            </a:ext>
          </a:extLst>
        </xdr:cNvPr>
        <xdr:cNvSpPr txBox="1">
          <a:spLocks noChangeArrowheads="1"/>
        </xdr:cNvSpPr>
      </xdr:nvSpPr>
      <xdr:spPr bwMode="auto">
        <a:xfrm>
          <a:off x="11249025" y="92916375"/>
          <a:ext cx="104775" cy="225159"/>
        </a:xfrm>
        <a:prstGeom prst="rect">
          <a:avLst/>
        </a:prstGeom>
        <a:noFill/>
        <a:ln w="9525">
          <a:noFill/>
          <a:miter lim="800000"/>
          <a:headEnd/>
          <a:tailEnd/>
        </a:ln>
      </xdr:spPr>
    </xdr:sp>
    <xdr:clientData/>
  </xdr:twoCellAnchor>
  <xdr:twoCellAnchor editAs="oneCell">
    <xdr:from>
      <xdr:col>19</xdr:col>
      <xdr:colOff>85725</xdr:colOff>
      <xdr:row>314</xdr:row>
      <xdr:rowOff>0</xdr:rowOff>
    </xdr:from>
    <xdr:to>
      <xdr:col>19</xdr:col>
      <xdr:colOff>190500</xdr:colOff>
      <xdr:row>315</xdr:row>
      <xdr:rowOff>15609</xdr:rowOff>
    </xdr:to>
    <xdr:sp macro="" textlink="">
      <xdr:nvSpPr>
        <xdr:cNvPr id="137" name="Text Box 92">
          <a:extLst>
            <a:ext uri="{FF2B5EF4-FFF2-40B4-BE49-F238E27FC236}">
              <a16:creationId xmlns:a16="http://schemas.microsoft.com/office/drawing/2014/main" id="{0BCFAA8E-7DB3-4176-9D76-B662DA6E77A5}"/>
            </a:ext>
          </a:extLst>
        </xdr:cNvPr>
        <xdr:cNvSpPr txBox="1">
          <a:spLocks noChangeArrowheads="1"/>
        </xdr:cNvSpPr>
      </xdr:nvSpPr>
      <xdr:spPr bwMode="auto">
        <a:xfrm>
          <a:off x="11249025" y="92916375"/>
          <a:ext cx="104775" cy="225159"/>
        </a:xfrm>
        <a:prstGeom prst="rect">
          <a:avLst/>
        </a:prstGeom>
        <a:noFill/>
        <a:ln w="9525">
          <a:noFill/>
          <a:miter lim="800000"/>
          <a:headEnd/>
          <a:tailEnd/>
        </a:ln>
      </xdr:spPr>
    </xdr:sp>
    <xdr:clientData/>
  </xdr:twoCellAnchor>
  <xdr:twoCellAnchor editAs="oneCell">
    <xdr:from>
      <xdr:col>19</xdr:col>
      <xdr:colOff>85725</xdr:colOff>
      <xdr:row>314</xdr:row>
      <xdr:rowOff>0</xdr:rowOff>
    </xdr:from>
    <xdr:to>
      <xdr:col>19</xdr:col>
      <xdr:colOff>190500</xdr:colOff>
      <xdr:row>315</xdr:row>
      <xdr:rowOff>15609</xdr:rowOff>
    </xdr:to>
    <xdr:sp macro="" textlink="">
      <xdr:nvSpPr>
        <xdr:cNvPr id="138" name="Text Box 93">
          <a:extLst>
            <a:ext uri="{FF2B5EF4-FFF2-40B4-BE49-F238E27FC236}">
              <a16:creationId xmlns:a16="http://schemas.microsoft.com/office/drawing/2014/main" id="{1E1230CA-5C65-43C3-B7B6-B8E29A692D37}"/>
            </a:ext>
          </a:extLst>
        </xdr:cNvPr>
        <xdr:cNvSpPr txBox="1">
          <a:spLocks noChangeArrowheads="1"/>
        </xdr:cNvSpPr>
      </xdr:nvSpPr>
      <xdr:spPr bwMode="auto">
        <a:xfrm>
          <a:off x="11249025" y="92916375"/>
          <a:ext cx="104775" cy="225159"/>
        </a:xfrm>
        <a:prstGeom prst="rect">
          <a:avLst/>
        </a:prstGeom>
        <a:noFill/>
        <a:ln w="9525">
          <a:noFill/>
          <a:miter lim="800000"/>
          <a:headEnd/>
          <a:tailEnd/>
        </a:ln>
      </xdr:spPr>
    </xdr:sp>
    <xdr:clientData/>
  </xdr:twoCellAnchor>
  <xdr:twoCellAnchor editAs="oneCell">
    <xdr:from>
      <xdr:col>19</xdr:col>
      <xdr:colOff>85725</xdr:colOff>
      <xdr:row>314</xdr:row>
      <xdr:rowOff>0</xdr:rowOff>
    </xdr:from>
    <xdr:to>
      <xdr:col>19</xdr:col>
      <xdr:colOff>190500</xdr:colOff>
      <xdr:row>315</xdr:row>
      <xdr:rowOff>15609</xdr:rowOff>
    </xdr:to>
    <xdr:sp macro="" textlink="">
      <xdr:nvSpPr>
        <xdr:cNvPr id="139" name="Text Box 94">
          <a:extLst>
            <a:ext uri="{FF2B5EF4-FFF2-40B4-BE49-F238E27FC236}">
              <a16:creationId xmlns:a16="http://schemas.microsoft.com/office/drawing/2014/main" id="{660CCE17-8D54-4FFA-9B95-4896D36F7DA5}"/>
            </a:ext>
          </a:extLst>
        </xdr:cNvPr>
        <xdr:cNvSpPr txBox="1">
          <a:spLocks noChangeArrowheads="1"/>
        </xdr:cNvSpPr>
      </xdr:nvSpPr>
      <xdr:spPr bwMode="auto">
        <a:xfrm>
          <a:off x="11249025" y="92916375"/>
          <a:ext cx="104775" cy="225159"/>
        </a:xfrm>
        <a:prstGeom prst="rect">
          <a:avLst/>
        </a:prstGeom>
        <a:noFill/>
        <a:ln w="9525">
          <a:noFill/>
          <a:miter lim="800000"/>
          <a:headEnd/>
          <a:tailEnd/>
        </a:ln>
      </xdr:spPr>
    </xdr:sp>
    <xdr:clientData/>
  </xdr:twoCellAnchor>
  <xdr:twoCellAnchor editAs="oneCell">
    <xdr:from>
      <xdr:col>19</xdr:col>
      <xdr:colOff>85725</xdr:colOff>
      <xdr:row>314</xdr:row>
      <xdr:rowOff>0</xdr:rowOff>
    </xdr:from>
    <xdr:to>
      <xdr:col>19</xdr:col>
      <xdr:colOff>190500</xdr:colOff>
      <xdr:row>315</xdr:row>
      <xdr:rowOff>15609</xdr:rowOff>
    </xdr:to>
    <xdr:sp macro="" textlink="">
      <xdr:nvSpPr>
        <xdr:cNvPr id="140" name="Text Box 95">
          <a:extLst>
            <a:ext uri="{FF2B5EF4-FFF2-40B4-BE49-F238E27FC236}">
              <a16:creationId xmlns:a16="http://schemas.microsoft.com/office/drawing/2014/main" id="{342CFC44-EECE-4B77-8DA2-E5323C41CE44}"/>
            </a:ext>
          </a:extLst>
        </xdr:cNvPr>
        <xdr:cNvSpPr txBox="1">
          <a:spLocks noChangeArrowheads="1"/>
        </xdr:cNvSpPr>
      </xdr:nvSpPr>
      <xdr:spPr bwMode="auto">
        <a:xfrm>
          <a:off x="11249025" y="92916375"/>
          <a:ext cx="104775" cy="225159"/>
        </a:xfrm>
        <a:prstGeom prst="rect">
          <a:avLst/>
        </a:prstGeom>
        <a:noFill/>
        <a:ln w="9525">
          <a:noFill/>
          <a:miter lim="800000"/>
          <a:headEnd/>
          <a:tailEnd/>
        </a:ln>
      </xdr:spPr>
    </xdr:sp>
    <xdr:clientData/>
  </xdr:twoCellAnchor>
  <xdr:twoCellAnchor editAs="oneCell">
    <xdr:from>
      <xdr:col>19</xdr:col>
      <xdr:colOff>85725</xdr:colOff>
      <xdr:row>314</xdr:row>
      <xdr:rowOff>0</xdr:rowOff>
    </xdr:from>
    <xdr:to>
      <xdr:col>19</xdr:col>
      <xdr:colOff>190500</xdr:colOff>
      <xdr:row>315</xdr:row>
      <xdr:rowOff>15609</xdr:rowOff>
    </xdr:to>
    <xdr:sp macro="" textlink="">
      <xdr:nvSpPr>
        <xdr:cNvPr id="141" name="Text Box 96">
          <a:extLst>
            <a:ext uri="{FF2B5EF4-FFF2-40B4-BE49-F238E27FC236}">
              <a16:creationId xmlns:a16="http://schemas.microsoft.com/office/drawing/2014/main" id="{39560674-2A5D-428E-9C87-ADB97489B772}"/>
            </a:ext>
          </a:extLst>
        </xdr:cNvPr>
        <xdr:cNvSpPr txBox="1">
          <a:spLocks noChangeArrowheads="1"/>
        </xdr:cNvSpPr>
      </xdr:nvSpPr>
      <xdr:spPr bwMode="auto">
        <a:xfrm>
          <a:off x="11249025" y="92916375"/>
          <a:ext cx="104775" cy="225159"/>
        </a:xfrm>
        <a:prstGeom prst="rect">
          <a:avLst/>
        </a:prstGeom>
        <a:noFill/>
        <a:ln w="9525">
          <a:noFill/>
          <a:miter lim="800000"/>
          <a:headEnd/>
          <a:tailEnd/>
        </a:ln>
      </xdr:spPr>
    </xdr:sp>
    <xdr:clientData/>
  </xdr:twoCellAnchor>
  <xdr:twoCellAnchor editAs="oneCell">
    <xdr:from>
      <xdr:col>19</xdr:col>
      <xdr:colOff>85725</xdr:colOff>
      <xdr:row>314</xdr:row>
      <xdr:rowOff>0</xdr:rowOff>
    </xdr:from>
    <xdr:to>
      <xdr:col>19</xdr:col>
      <xdr:colOff>190500</xdr:colOff>
      <xdr:row>315</xdr:row>
      <xdr:rowOff>15609</xdr:rowOff>
    </xdr:to>
    <xdr:sp macro="" textlink="">
      <xdr:nvSpPr>
        <xdr:cNvPr id="142" name="Text Box 97">
          <a:extLst>
            <a:ext uri="{FF2B5EF4-FFF2-40B4-BE49-F238E27FC236}">
              <a16:creationId xmlns:a16="http://schemas.microsoft.com/office/drawing/2014/main" id="{905CD207-F388-4F3C-A1F2-3A079B893CA3}"/>
            </a:ext>
          </a:extLst>
        </xdr:cNvPr>
        <xdr:cNvSpPr txBox="1">
          <a:spLocks noChangeArrowheads="1"/>
        </xdr:cNvSpPr>
      </xdr:nvSpPr>
      <xdr:spPr bwMode="auto">
        <a:xfrm>
          <a:off x="11249025" y="92916375"/>
          <a:ext cx="104775" cy="225159"/>
        </a:xfrm>
        <a:prstGeom prst="rect">
          <a:avLst/>
        </a:prstGeom>
        <a:noFill/>
        <a:ln w="9525">
          <a:noFill/>
          <a:miter lim="800000"/>
          <a:headEnd/>
          <a:tailEnd/>
        </a:ln>
      </xdr:spPr>
    </xdr:sp>
    <xdr:clientData/>
  </xdr:twoCellAnchor>
  <xdr:twoCellAnchor editAs="oneCell">
    <xdr:from>
      <xdr:col>19</xdr:col>
      <xdr:colOff>85725</xdr:colOff>
      <xdr:row>314</xdr:row>
      <xdr:rowOff>0</xdr:rowOff>
    </xdr:from>
    <xdr:to>
      <xdr:col>19</xdr:col>
      <xdr:colOff>190500</xdr:colOff>
      <xdr:row>315</xdr:row>
      <xdr:rowOff>15609</xdr:rowOff>
    </xdr:to>
    <xdr:sp macro="" textlink="">
      <xdr:nvSpPr>
        <xdr:cNvPr id="143" name="Text Box 98">
          <a:extLst>
            <a:ext uri="{FF2B5EF4-FFF2-40B4-BE49-F238E27FC236}">
              <a16:creationId xmlns:a16="http://schemas.microsoft.com/office/drawing/2014/main" id="{4EEE94A0-AB19-4246-8E6D-B4C9647C26DF}"/>
            </a:ext>
          </a:extLst>
        </xdr:cNvPr>
        <xdr:cNvSpPr txBox="1">
          <a:spLocks noChangeArrowheads="1"/>
        </xdr:cNvSpPr>
      </xdr:nvSpPr>
      <xdr:spPr bwMode="auto">
        <a:xfrm>
          <a:off x="11249025" y="92916375"/>
          <a:ext cx="104775" cy="225159"/>
        </a:xfrm>
        <a:prstGeom prst="rect">
          <a:avLst/>
        </a:prstGeom>
        <a:noFill/>
        <a:ln w="9525">
          <a:noFill/>
          <a:miter lim="800000"/>
          <a:headEnd/>
          <a:tailEnd/>
        </a:ln>
      </xdr:spPr>
    </xdr:sp>
    <xdr:clientData/>
  </xdr:twoCellAnchor>
  <xdr:twoCellAnchor editAs="oneCell">
    <xdr:from>
      <xdr:col>19</xdr:col>
      <xdr:colOff>85725</xdr:colOff>
      <xdr:row>314</xdr:row>
      <xdr:rowOff>0</xdr:rowOff>
    </xdr:from>
    <xdr:to>
      <xdr:col>19</xdr:col>
      <xdr:colOff>190500</xdr:colOff>
      <xdr:row>315</xdr:row>
      <xdr:rowOff>15609</xdr:rowOff>
    </xdr:to>
    <xdr:sp macro="" textlink="">
      <xdr:nvSpPr>
        <xdr:cNvPr id="144" name="Text Box 99">
          <a:extLst>
            <a:ext uri="{FF2B5EF4-FFF2-40B4-BE49-F238E27FC236}">
              <a16:creationId xmlns:a16="http://schemas.microsoft.com/office/drawing/2014/main" id="{D264B1C3-7850-4370-9B13-9C6453AF0920}"/>
            </a:ext>
          </a:extLst>
        </xdr:cNvPr>
        <xdr:cNvSpPr txBox="1">
          <a:spLocks noChangeArrowheads="1"/>
        </xdr:cNvSpPr>
      </xdr:nvSpPr>
      <xdr:spPr bwMode="auto">
        <a:xfrm>
          <a:off x="11249025" y="92916375"/>
          <a:ext cx="104775" cy="225159"/>
        </a:xfrm>
        <a:prstGeom prst="rect">
          <a:avLst/>
        </a:prstGeom>
        <a:noFill/>
        <a:ln w="9525">
          <a:noFill/>
          <a:miter lim="800000"/>
          <a:headEnd/>
          <a:tailEnd/>
        </a:ln>
      </xdr:spPr>
    </xdr:sp>
    <xdr:clientData/>
  </xdr:twoCellAnchor>
  <xdr:twoCellAnchor editAs="oneCell">
    <xdr:from>
      <xdr:col>19</xdr:col>
      <xdr:colOff>85725</xdr:colOff>
      <xdr:row>318</xdr:row>
      <xdr:rowOff>0</xdr:rowOff>
    </xdr:from>
    <xdr:to>
      <xdr:col>19</xdr:col>
      <xdr:colOff>190500</xdr:colOff>
      <xdr:row>319</xdr:row>
      <xdr:rowOff>0</xdr:rowOff>
    </xdr:to>
    <xdr:sp macro="" textlink="">
      <xdr:nvSpPr>
        <xdr:cNvPr id="145" name="Text Box 100">
          <a:extLst>
            <a:ext uri="{FF2B5EF4-FFF2-40B4-BE49-F238E27FC236}">
              <a16:creationId xmlns:a16="http://schemas.microsoft.com/office/drawing/2014/main" id="{02438DB3-AE31-4419-A97B-CC8640DB9930}"/>
            </a:ext>
          </a:extLst>
        </xdr:cNvPr>
        <xdr:cNvSpPr txBox="1">
          <a:spLocks noChangeArrowheads="1"/>
        </xdr:cNvSpPr>
      </xdr:nvSpPr>
      <xdr:spPr bwMode="auto">
        <a:xfrm>
          <a:off x="11249025" y="93754575"/>
          <a:ext cx="104775" cy="209550"/>
        </a:xfrm>
        <a:prstGeom prst="rect">
          <a:avLst/>
        </a:prstGeom>
        <a:noFill/>
        <a:ln w="9525">
          <a:noFill/>
          <a:miter lim="800000"/>
          <a:headEnd/>
          <a:tailEnd/>
        </a:ln>
      </xdr:spPr>
    </xdr:sp>
    <xdr:clientData/>
  </xdr:twoCellAnchor>
  <xdr:twoCellAnchor editAs="oneCell">
    <xdr:from>
      <xdr:col>19</xdr:col>
      <xdr:colOff>85725</xdr:colOff>
      <xdr:row>318</xdr:row>
      <xdr:rowOff>0</xdr:rowOff>
    </xdr:from>
    <xdr:to>
      <xdr:col>19</xdr:col>
      <xdr:colOff>190500</xdr:colOff>
      <xdr:row>319</xdr:row>
      <xdr:rowOff>0</xdr:rowOff>
    </xdr:to>
    <xdr:sp macro="" textlink="">
      <xdr:nvSpPr>
        <xdr:cNvPr id="146" name="Text Box 101">
          <a:extLst>
            <a:ext uri="{FF2B5EF4-FFF2-40B4-BE49-F238E27FC236}">
              <a16:creationId xmlns:a16="http://schemas.microsoft.com/office/drawing/2014/main" id="{C272F151-1CAF-47F2-B942-14623B120099}"/>
            </a:ext>
          </a:extLst>
        </xdr:cNvPr>
        <xdr:cNvSpPr txBox="1">
          <a:spLocks noChangeArrowheads="1"/>
        </xdr:cNvSpPr>
      </xdr:nvSpPr>
      <xdr:spPr bwMode="auto">
        <a:xfrm>
          <a:off x="11249025" y="93754575"/>
          <a:ext cx="104775" cy="209550"/>
        </a:xfrm>
        <a:prstGeom prst="rect">
          <a:avLst/>
        </a:prstGeom>
        <a:noFill/>
        <a:ln w="9525">
          <a:noFill/>
          <a:miter lim="800000"/>
          <a:headEnd/>
          <a:tailEnd/>
        </a:ln>
      </xdr:spPr>
    </xdr:sp>
    <xdr:clientData/>
  </xdr:twoCellAnchor>
  <xdr:oneCellAnchor>
    <xdr:from>
      <xdr:col>19</xdr:col>
      <xdr:colOff>85725</xdr:colOff>
      <xdr:row>313</xdr:row>
      <xdr:rowOff>0</xdr:rowOff>
    </xdr:from>
    <xdr:ext cx="104775" cy="224895"/>
    <xdr:sp macro="" textlink="">
      <xdr:nvSpPr>
        <xdr:cNvPr id="147" name="Text Box 90">
          <a:extLst>
            <a:ext uri="{FF2B5EF4-FFF2-40B4-BE49-F238E27FC236}">
              <a16:creationId xmlns:a16="http://schemas.microsoft.com/office/drawing/2014/main" id="{B2B0AAD6-F26B-43CE-A4AB-A2D9AF2129BC}"/>
            </a:ext>
          </a:extLst>
        </xdr:cNvPr>
        <xdr:cNvSpPr txBox="1">
          <a:spLocks noChangeArrowheads="1"/>
        </xdr:cNvSpPr>
      </xdr:nvSpPr>
      <xdr:spPr bwMode="auto">
        <a:xfrm>
          <a:off x="11249025" y="92706825"/>
          <a:ext cx="104775" cy="224895"/>
        </a:xfrm>
        <a:prstGeom prst="rect">
          <a:avLst/>
        </a:prstGeom>
        <a:noFill/>
        <a:ln w="9525">
          <a:noFill/>
          <a:miter lim="800000"/>
          <a:headEnd/>
          <a:tailEnd/>
        </a:ln>
      </xdr:spPr>
    </xdr:sp>
    <xdr:clientData/>
  </xdr:oneCellAnchor>
  <xdr:oneCellAnchor>
    <xdr:from>
      <xdr:col>19</xdr:col>
      <xdr:colOff>85725</xdr:colOff>
      <xdr:row>313</xdr:row>
      <xdr:rowOff>0</xdr:rowOff>
    </xdr:from>
    <xdr:ext cx="104775" cy="224895"/>
    <xdr:sp macro="" textlink="">
      <xdr:nvSpPr>
        <xdr:cNvPr id="148" name="Text Box 91">
          <a:extLst>
            <a:ext uri="{FF2B5EF4-FFF2-40B4-BE49-F238E27FC236}">
              <a16:creationId xmlns:a16="http://schemas.microsoft.com/office/drawing/2014/main" id="{46E58A34-EE4C-432F-B7E6-BF1F017E1227}"/>
            </a:ext>
          </a:extLst>
        </xdr:cNvPr>
        <xdr:cNvSpPr txBox="1">
          <a:spLocks noChangeArrowheads="1"/>
        </xdr:cNvSpPr>
      </xdr:nvSpPr>
      <xdr:spPr bwMode="auto">
        <a:xfrm>
          <a:off x="11249025" y="92706825"/>
          <a:ext cx="104775" cy="224895"/>
        </a:xfrm>
        <a:prstGeom prst="rect">
          <a:avLst/>
        </a:prstGeom>
        <a:noFill/>
        <a:ln w="9525">
          <a:noFill/>
          <a:miter lim="800000"/>
          <a:headEnd/>
          <a:tailEnd/>
        </a:ln>
      </xdr:spPr>
    </xdr:sp>
    <xdr:clientData/>
  </xdr:oneCellAnchor>
  <xdr:oneCellAnchor>
    <xdr:from>
      <xdr:col>19</xdr:col>
      <xdr:colOff>85725</xdr:colOff>
      <xdr:row>313</xdr:row>
      <xdr:rowOff>0</xdr:rowOff>
    </xdr:from>
    <xdr:ext cx="104775" cy="224895"/>
    <xdr:sp macro="" textlink="">
      <xdr:nvSpPr>
        <xdr:cNvPr id="149" name="Text Box 92">
          <a:extLst>
            <a:ext uri="{FF2B5EF4-FFF2-40B4-BE49-F238E27FC236}">
              <a16:creationId xmlns:a16="http://schemas.microsoft.com/office/drawing/2014/main" id="{9F434D79-E5CE-46A4-ACA4-F6E277470ACC}"/>
            </a:ext>
          </a:extLst>
        </xdr:cNvPr>
        <xdr:cNvSpPr txBox="1">
          <a:spLocks noChangeArrowheads="1"/>
        </xdr:cNvSpPr>
      </xdr:nvSpPr>
      <xdr:spPr bwMode="auto">
        <a:xfrm>
          <a:off x="11249025" y="92706825"/>
          <a:ext cx="104775" cy="224895"/>
        </a:xfrm>
        <a:prstGeom prst="rect">
          <a:avLst/>
        </a:prstGeom>
        <a:noFill/>
        <a:ln w="9525">
          <a:noFill/>
          <a:miter lim="800000"/>
          <a:headEnd/>
          <a:tailEnd/>
        </a:ln>
      </xdr:spPr>
    </xdr:sp>
    <xdr:clientData/>
  </xdr:oneCellAnchor>
  <xdr:oneCellAnchor>
    <xdr:from>
      <xdr:col>19</xdr:col>
      <xdr:colOff>85725</xdr:colOff>
      <xdr:row>313</xdr:row>
      <xdr:rowOff>0</xdr:rowOff>
    </xdr:from>
    <xdr:ext cx="104775" cy="224895"/>
    <xdr:sp macro="" textlink="">
      <xdr:nvSpPr>
        <xdr:cNvPr id="150" name="Text Box 93">
          <a:extLst>
            <a:ext uri="{FF2B5EF4-FFF2-40B4-BE49-F238E27FC236}">
              <a16:creationId xmlns:a16="http://schemas.microsoft.com/office/drawing/2014/main" id="{35EA1F98-1466-4AB6-AA05-9E5CA0911354}"/>
            </a:ext>
          </a:extLst>
        </xdr:cNvPr>
        <xdr:cNvSpPr txBox="1">
          <a:spLocks noChangeArrowheads="1"/>
        </xdr:cNvSpPr>
      </xdr:nvSpPr>
      <xdr:spPr bwMode="auto">
        <a:xfrm>
          <a:off x="11249025" y="92706825"/>
          <a:ext cx="104775" cy="224895"/>
        </a:xfrm>
        <a:prstGeom prst="rect">
          <a:avLst/>
        </a:prstGeom>
        <a:noFill/>
        <a:ln w="9525">
          <a:noFill/>
          <a:miter lim="800000"/>
          <a:headEnd/>
          <a:tailEnd/>
        </a:ln>
      </xdr:spPr>
    </xdr:sp>
    <xdr:clientData/>
  </xdr:oneCellAnchor>
  <xdr:oneCellAnchor>
    <xdr:from>
      <xdr:col>19</xdr:col>
      <xdr:colOff>85725</xdr:colOff>
      <xdr:row>313</xdr:row>
      <xdr:rowOff>0</xdr:rowOff>
    </xdr:from>
    <xdr:ext cx="104775" cy="224895"/>
    <xdr:sp macro="" textlink="">
      <xdr:nvSpPr>
        <xdr:cNvPr id="151" name="Text Box 94">
          <a:extLst>
            <a:ext uri="{FF2B5EF4-FFF2-40B4-BE49-F238E27FC236}">
              <a16:creationId xmlns:a16="http://schemas.microsoft.com/office/drawing/2014/main" id="{CB33A3EB-5B64-41E1-BF9A-62C9DCF0E8D3}"/>
            </a:ext>
          </a:extLst>
        </xdr:cNvPr>
        <xdr:cNvSpPr txBox="1">
          <a:spLocks noChangeArrowheads="1"/>
        </xdr:cNvSpPr>
      </xdr:nvSpPr>
      <xdr:spPr bwMode="auto">
        <a:xfrm>
          <a:off x="11249025" y="92706825"/>
          <a:ext cx="104775" cy="224895"/>
        </a:xfrm>
        <a:prstGeom prst="rect">
          <a:avLst/>
        </a:prstGeom>
        <a:noFill/>
        <a:ln w="9525">
          <a:noFill/>
          <a:miter lim="800000"/>
          <a:headEnd/>
          <a:tailEnd/>
        </a:ln>
      </xdr:spPr>
    </xdr:sp>
    <xdr:clientData/>
  </xdr:oneCellAnchor>
  <xdr:oneCellAnchor>
    <xdr:from>
      <xdr:col>19</xdr:col>
      <xdr:colOff>85725</xdr:colOff>
      <xdr:row>313</xdr:row>
      <xdr:rowOff>0</xdr:rowOff>
    </xdr:from>
    <xdr:ext cx="104775" cy="224895"/>
    <xdr:sp macro="" textlink="">
      <xdr:nvSpPr>
        <xdr:cNvPr id="152" name="Text Box 95">
          <a:extLst>
            <a:ext uri="{FF2B5EF4-FFF2-40B4-BE49-F238E27FC236}">
              <a16:creationId xmlns:a16="http://schemas.microsoft.com/office/drawing/2014/main" id="{E66EC4A8-CB59-4F02-A0BE-939B17314E07}"/>
            </a:ext>
          </a:extLst>
        </xdr:cNvPr>
        <xdr:cNvSpPr txBox="1">
          <a:spLocks noChangeArrowheads="1"/>
        </xdr:cNvSpPr>
      </xdr:nvSpPr>
      <xdr:spPr bwMode="auto">
        <a:xfrm>
          <a:off x="11249025" y="92706825"/>
          <a:ext cx="104775" cy="224895"/>
        </a:xfrm>
        <a:prstGeom prst="rect">
          <a:avLst/>
        </a:prstGeom>
        <a:noFill/>
        <a:ln w="9525">
          <a:noFill/>
          <a:miter lim="800000"/>
          <a:headEnd/>
          <a:tailEnd/>
        </a:ln>
      </xdr:spPr>
    </xdr:sp>
    <xdr:clientData/>
  </xdr:oneCellAnchor>
  <xdr:oneCellAnchor>
    <xdr:from>
      <xdr:col>19</xdr:col>
      <xdr:colOff>85725</xdr:colOff>
      <xdr:row>313</xdr:row>
      <xdr:rowOff>0</xdr:rowOff>
    </xdr:from>
    <xdr:ext cx="104775" cy="224895"/>
    <xdr:sp macro="" textlink="">
      <xdr:nvSpPr>
        <xdr:cNvPr id="153" name="Text Box 96">
          <a:extLst>
            <a:ext uri="{FF2B5EF4-FFF2-40B4-BE49-F238E27FC236}">
              <a16:creationId xmlns:a16="http://schemas.microsoft.com/office/drawing/2014/main" id="{784D7690-1F25-4188-B3FB-2A5E6771F605}"/>
            </a:ext>
          </a:extLst>
        </xdr:cNvPr>
        <xdr:cNvSpPr txBox="1">
          <a:spLocks noChangeArrowheads="1"/>
        </xdr:cNvSpPr>
      </xdr:nvSpPr>
      <xdr:spPr bwMode="auto">
        <a:xfrm>
          <a:off x="11249025" y="92706825"/>
          <a:ext cx="104775" cy="224895"/>
        </a:xfrm>
        <a:prstGeom prst="rect">
          <a:avLst/>
        </a:prstGeom>
        <a:noFill/>
        <a:ln w="9525">
          <a:noFill/>
          <a:miter lim="800000"/>
          <a:headEnd/>
          <a:tailEnd/>
        </a:ln>
      </xdr:spPr>
    </xdr:sp>
    <xdr:clientData/>
  </xdr:oneCellAnchor>
  <xdr:oneCellAnchor>
    <xdr:from>
      <xdr:col>19</xdr:col>
      <xdr:colOff>85725</xdr:colOff>
      <xdr:row>313</xdr:row>
      <xdr:rowOff>0</xdr:rowOff>
    </xdr:from>
    <xdr:ext cx="104775" cy="224895"/>
    <xdr:sp macro="" textlink="">
      <xdr:nvSpPr>
        <xdr:cNvPr id="154" name="Text Box 97">
          <a:extLst>
            <a:ext uri="{FF2B5EF4-FFF2-40B4-BE49-F238E27FC236}">
              <a16:creationId xmlns:a16="http://schemas.microsoft.com/office/drawing/2014/main" id="{B6E0AD01-FCC4-4B6C-A046-DC2FE5B9E07E}"/>
            </a:ext>
          </a:extLst>
        </xdr:cNvPr>
        <xdr:cNvSpPr txBox="1">
          <a:spLocks noChangeArrowheads="1"/>
        </xdr:cNvSpPr>
      </xdr:nvSpPr>
      <xdr:spPr bwMode="auto">
        <a:xfrm>
          <a:off x="11249025" y="92706825"/>
          <a:ext cx="104775" cy="224895"/>
        </a:xfrm>
        <a:prstGeom prst="rect">
          <a:avLst/>
        </a:prstGeom>
        <a:noFill/>
        <a:ln w="9525">
          <a:noFill/>
          <a:miter lim="800000"/>
          <a:headEnd/>
          <a:tailEnd/>
        </a:ln>
      </xdr:spPr>
    </xdr:sp>
    <xdr:clientData/>
  </xdr:oneCellAnchor>
  <xdr:oneCellAnchor>
    <xdr:from>
      <xdr:col>19</xdr:col>
      <xdr:colOff>85725</xdr:colOff>
      <xdr:row>313</xdr:row>
      <xdr:rowOff>0</xdr:rowOff>
    </xdr:from>
    <xdr:ext cx="104775" cy="224895"/>
    <xdr:sp macro="" textlink="">
      <xdr:nvSpPr>
        <xdr:cNvPr id="155" name="Text Box 98">
          <a:extLst>
            <a:ext uri="{FF2B5EF4-FFF2-40B4-BE49-F238E27FC236}">
              <a16:creationId xmlns:a16="http://schemas.microsoft.com/office/drawing/2014/main" id="{EDB327D7-E63C-4AE6-829A-D2BCBE96B9DB}"/>
            </a:ext>
          </a:extLst>
        </xdr:cNvPr>
        <xdr:cNvSpPr txBox="1">
          <a:spLocks noChangeArrowheads="1"/>
        </xdr:cNvSpPr>
      </xdr:nvSpPr>
      <xdr:spPr bwMode="auto">
        <a:xfrm>
          <a:off x="11249025" y="92706825"/>
          <a:ext cx="104775" cy="224895"/>
        </a:xfrm>
        <a:prstGeom prst="rect">
          <a:avLst/>
        </a:prstGeom>
        <a:noFill/>
        <a:ln w="9525">
          <a:noFill/>
          <a:miter lim="800000"/>
          <a:headEnd/>
          <a:tailEnd/>
        </a:ln>
      </xdr:spPr>
    </xdr:sp>
    <xdr:clientData/>
  </xdr:oneCellAnchor>
  <xdr:oneCellAnchor>
    <xdr:from>
      <xdr:col>19</xdr:col>
      <xdr:colOff>85725</xdr:colOff>
      <xdr:row>313</xdr:row>
      <xdr:rowOff>0</xdr:rowOff>
    </xdr:from>
    <xdr:ext cx="104775" cy="224895"/>
    <xdr:sp macro="" textlink="">
      <xdr:nvSpPr>
        <xdr:cNvPr id="156" name="Text Box 99">
          <a:extLst>
            <a:ext uri="{FF2B5EF4-FFF2-40B4-BE49-F238E27FC236}">
              <a16:creationId xmlns:a16="http://schemas.microsoft.com/office/drawing/2014/main" id="{B2B0157A-FF0C-45C9-84B3-C53CF1712DB5}"/>
            </a:ext>
          </a:extLst>
        </xdr:cNvPr>
        <xdr:cNvSpPr txBox="1">
          <a:spLocks noChangeArrowheads="1"/>
        </xdr:cNvSpPr>
      </xdr:nvSpPr>
      <xdr:spPr bwMode="auto">
        <a:xfrm>
          <a:off x="11249025" y="92706825"/>
          <a:ext cx="104775" cy="224895"/>
        </a:xfrm>
        <a:prstGeom prst="rect">
          <a:avLst/>
        </a:prstGeom>
        <a:noFill/>
        <a:ln w="9525">
          <a:noFill/>
          <a:miter lim="800000"/>
          <a:headEnd/>
          <a:tailEnd/>
        </a:ln>
      </xdr:spPr>
    </xdr:sp>
    <xdr:clientData/>
  </xdr:oneCellAnchor>
  <xdr:oneCellAnchor>
    <xdr:from>
      <xdr:col>19</xdr:col>
      <xdr:colOff>85725</xdr:colOff>
      <xdr:row>303</xdr:row>
      <xdr:rowOff>0</xdr:rowOff>
    </xdr:from>
    <xdr:ext cx="104775" cy="224895"/>
    <xdr:sp macro="" textlink="">
      <xdr:nvSpPr>
        <xdr:cNvPr id="157" name="Text Box 90">
          <a:extLst>
            <a:ext uri="{FF2B5EF4-FFF2-40B4-BE49-F238E27FC236}">
              <a16:creationId xmlns:a16="http://schemas.microsoft.com/office/drawing/2014/main" id="{5C5D1472-37E3-456C-972A-D788675B505E}"/>
            </a:ext>
          </a:extLst>
        </xdr:cNvPr>
        <xdr:cNvSpPr txBox="1">
          <a:spLocks noChangeArrowheads="1"/>
        </xdr:cNvSpPr>
      </xdr:nvSpPr>
      <xdr:spPr bwMode="auto">
        <a:xfrm>
          <a:off x="11249025" y="90563700"/>
          <a:ext cx="104775" cy="224895"/>
        </a:xfrm>
        <a:prstGeom prst="rect">
          <a:avLst/>
        </a:prstGeom>
        <a:noFill/>
        <a:ln w="9525">
          <a:noFill/>
          <a:miter lim="800000"/>
          <a:headEnd/>
          <a:tailEnd/>
        </a:ln>
      </xdr:spPr>
    </xdr:sp>
    <xdr:clientData/>
  </xdr:oneCellAnchor>
  <xdr:oneCellAnchor>
    <xdr:from>
      <xdr:col>19</xdr:col>
      <xdr:colOff>85725</xdr:colOff>
      <xdr:row>303</xdr:row>
      <xdr:rowOff>0</xdr:rowOff>
    </xdr:from>
    <xdr:ext cx="104775" cy="224895"/>
    <xdr:sp macro="" textlink="">
      <xdr:nvSpPr>
        <xdr:cNvPr id="158" name="Text Box 91">
          <a:extLst>
            <a:ext uri="{FF2B5EF4-FFF2-40B4-BE49-F238E27FC236}">
              <a16:creationId xmlns:a16="http://schemas.microsoft.com/office/drawing/2014/main" id="{258BF6F7-9195-44E8-BD85-72D6A32754B4}"/>
            </a:ext>
          </a:extLst>
        </xdr:cNvPr>
        <xdr:cNvSpPr txBox="1">
          <a:spLocks noChangeArrowheads="1"/>
        </xdr:cNvSpPr>
      </xdr:nvSpPr>
      <xdr:spPr bwMode="auto">
        <a:xfrm>
          <a:off x="11249025" y="90563700"/>
          <a:ext cx="104775" cy="224895"/>
        </a:xfrm>
        <a:prstGeom prst="rect">
          <a:avLst/>
        </a:prstGeom>
        <a:noFill/>
        <a:ln w="9525">
          <a:noFill/>
          <a:miter lim="800000"/>
          <a:headEnd/>
          <a:tailEnd/>
        </a:ln>
      </xdr:spPr>
    </xdr:sp>
    <xdr:clientData/>
  </xdr:oneCellAnchor>
  <xdr:oneCellAnchor>
    <xdr:from>
      <xdr:col>19</xdr:col>
      <xdr:colOff>85725</xdr:colOff>
      <xdr:row>303</xdr:row>
      <xdr:rowOff>0</xdr:rowOff>
    </xdr:from>
    <xdr:ext cx="104775" cy="224895"/>
    <xdr:sp macro="" textlink="">
      <xdr:nvSpPr>
        <xdr:cNvPr id="159" name="Text Box 92">
          <a:extLst>
            <a:ext uri="{FF2B5EF4-FFF2-40B4-BE49-F238E27FC236}">
              <a16:creationId xmlns:a16="http://schemas.microsoft.com/office/drawing/2014/main" id="{B1BFA0F6-CEC5-4350-901D-B067645B8FEB}"/>
            </a:ext>
          </a:extLst>
        </xdr:cNvPr>
        <xdr:cNvSpPr txBox="1">
          <a:spLocks noChangeArrowheads="1"/>
        </xdr:cNvSpPr>
      </xdr:nvSpPr>
      <xdr:spPr bwMode="auto">
        <a:xfrm>
          <a:off x="11249025" y="90563700"/>
          <a:ext cx="104775" cy="224895"/>
        </a:xfrm>
        <a:prstGeom prst="rect">
          <a:avLst/>
        </a:prstGeom>
        <a:noFill/>
        <a:ln w="9525">
          <a:noFill/>
          <a:miter lim="800000"/>
          <a:headEnd/>
          <a:tailEnd/>
        </a:ln>
      </xdr:spPr>
    </xdr:sp>
    <xdr:clientData/>
  </xdr:oneCellAnchor>
  <xdr:oneCellAnchor>
    <xdr:from>
      <xdr:col>19</xdr:col>
      <xdr:colOff>85725</xdr:colOff>
      <xdr:row>303</xdr:row>
      <xdr:rowOff>0</xdr:rowOff>
    </xdr:from>
    <xdr:ext cx="104775" cy="224895"/>
    <xdr:sp macro="" textlink="">
      <xdr:nvSpPr>
        <xdr:cNvPr id="160" name="Text Box 93">
          <a:extLst>
            <a:ext uri="{FF2B5EF4-FFF2-40B4-BE49-F238E27FC236}">
              <a16:creationId xmlns:a16="http://schemas.microsoft.com/office/drawing/2014/main" id="{EFF27F35-C05C-4304-ADE8-C31DE2685B41}"/>
            </a:ext>
          </a:extLst>
        </xdr:cNvPr>
        <xdr:cNvSpPr txBox="1">
          <a:spLocks noChangeArrowheads="1"/>
        </xdr:cNvSpPr>
      </xdr:nvSpPr>
      <xdr:spPr bwMode="auto">
        <a:xfrm>
          <a:off x="11249025" y="90563700"/>
          <a:ext cx="104775" cy="224895"/>
        </a:xfrm>
        <a:prstGeom prst="rect">
          <a:avLst/>
        </a:prstGeom>
        <a:noFill/>
        <a:ln w="9525">
          <a:noFill/>
          <a:miter lim="800000"/>
          <a:headEnd/>
          <a:tailEnd/>
        </a:ln>
      </xdr:spPr>
    </xdr:sp>
    <xdr:clientData/>
  </xdr:oneCellAnchor>
  <xdr:oneCellAnchor>
    <xdr:from>
      <xdr:col>19</xdr:col>
      <xdr:colOff>85725</xdr:colOff>
      <xdr:row>303</xdr:row>
      <xdr:rowOff>0</xdr:rowOff>
    </xdr:from>
    <xdr:ext cx="104775" cy="224895"/>
    <xdr:sp macro="" textlink="">
      <xdr:nvSpPr>
        <xdr:cNvPr id="161" name="Text Box 94">
          <a:extLst>
            <a:ext uri="{FF2B5EF4-FFF2-40B4-BE49-F238E27FC236}">
              <a16:creationId xmlns:a16="http://schemas.microsoft.com/office/drawing/2014/main" id="{53DC5BA2-6288-401B-B521-CC0E7EFDA3FC}"/>
            </a:ext>
          </a:extLst>
        </xdr:cNvPr>
        <xdr:cNvSpPr txBox="1">
          <a:spLocks noChangeArrowheads="1"/>
        </xdr:cNvSpPr>
      </xdr:nvSpPr>
      <xdr:spPr bwMode="auto">
        <a:xfrm>
          <a:off x="11249025" y="90563700"/>
          <a:ext cx="104775" cy="224895"/>
        </a:xfrm>
        <a:prstGeom prst="rect">
          <a:avLst/>
        </a:prstGeom>
        <a:noFill/>
        <a:ln w="9525">
          <a:noFill/>
          <a:miter lim="800000"/>
          <a:headEnd/>
          <a:tailEnd/>
        </a:ln>
      </xdr:spPr>
    </xdr:sp>
    <xdr:clientData/>
  </xdr:oneCellAnchor>
  <xdr:oneCellAnchor>
    <xdr:from>
      <xdr:col>19</xdr:col>
      <xdr:colOff>85725</xdr:colOff>
      <xdr:row>303</xdr:row>
      <xdr:rowOff>0</xdr:rowOff>
    </xdr:from>
    <xdr:ext cx="104775" cy="224895"/>
    <xdr:sp macro="" textlink="">
      <xdr:nvSpPr>
        <xdr:cNvPr id="162" name="Text Box 95">
          <a:extLst>
            <a:ext uri="{FF2B5EF4-FFF2-40B4-BE49-F238E27FC236}">
              <a16:creationId xmlns:a16="http://schemas.microsoft.com/office/drawing/2014/main" id="{AFBF9073-AC10-4664-8C7D-2DF4615061CF}"/>
            </a:ext>
          </a:extLst>
        </xdr:cNvPr>
        <xdr:cNvSpPr txBox="1">
          <a:spLocks noChangeArrowheads="1"/>
        </xdr:cNvSpPr>
      </xdr:nvSpPr>
      <xdr:spPr bwMode="auto">
        <a:xfrm>
          <a:off x="11249025" y="90563700"/>
          <a:ext cx="104775" cy="224895"/>
        </a:xfrm>
        <a:prstGeom prst="rect">
          <a:avLst/>
        </a:prstGeom>
        <a:noFill/>
        <a:ln w="9525">
          <a:noFill/>
          <a:miter lim="800000"/>
          <a:headEnd/>
          <a:tailEnd/>
        </a:ln>
      </xdr:spPr>
    </xdr:sp>
    <xdr:clientData/>
  </xdr:oneCellAnchor>
  <xdr:oneCellAnchor>
    <xdr:from>
      <xdr:col>19</xdr:col>
      <xdr:colOff>85725</xdr:colOff>
      <xdr:row>303</xdr:row>
      <xdr:rowOff>0</xdr:rowOff>
    </xdr:from>
    <xdr:ext cx="104775" cy="224895"/>
    <xdr:sp macro="" textlink="">
      <xdr:nvSpPr>
        <xdr:cNvPr id="163" name="Text Box 96">
          <a:extLst>
            <a:ext uri="{FF2B5EF4-FFF2-40B4-BE49-F238E27FC236}">
              <a16:creationId xmlns:a16="http://schemas.microsoft.com/office/drawing/2014/main" id="{CD0F0F30-06F8-49B5-8420-6E2D451DE7DB}"/>
            </a:ext>
          </a:extLst>
        </xdr:cNvPr>
        <xdr:cNvSpPr txBox="1">
          <a:spLocks noChangeArrowheads="1"/>
        </xdr:cNvSpPr>
      </xdr:nvSpPr>
      <xdr:spPr bwMode="auto">
        <a:xfrm>
          <a:off x="11249025" y="90563700"/>
          <a:ext cx="104775" cy="224895"/>
        </a:xfrm>
        <a:prstGeom prst="rect">
          <a:avLst/>
        </a:prstGeom>
        <a:noFill/>
        <a:ln w="9525">
          <a:noFill/>
          <a:miter lim="800000"/>
          <a:headEnd/>
          <a:tailEnd/>
        </a:ln>
      </xdr:spPr>
    </xdr:sp>
    <xdr:clientData/>
  </xdr:oneCellAnchor>
  <xdr:oneCellAnchor>
    <xdr:from>
      <xdr:col>19</xdr:col>
      <xdr:colOff>85725</xdr:colOff>
      <xdr:row>303</xdr:row>
      <xdr:rowOff>0</xdr:rowOff>
    </xdr:from>
    <xdr:ext cx="104775" cy="224895"/>
    <xdr:sp macro="" textlink="">
      <xdr:nvSpPr>
        <xdr:cNvPr id="164" name="Text Box 97">
          <a:extLst>
            <a:ext uri="{FF2B5EF4-FFF2-40B4-BE49-F238E27FC236}">
              <a16:creationId xmlns:a16="http://schemas.microsoft.com/office/drawing/2014/main" id="{1936CECC-7E90-403B-82DB-9180B7A41635}"/>
            </a:ext>
          </a:extLst>
        </xdr:cNvPr>
        <xdr:cNvSpPr txBox="1">
          <a:spLocks noChangeArrowheads="1"/>
        </xdr:cNvSpPr>
      </xdr:nvSpPr>
      <xdr:spPr bwMode="auto">
        <a:xfrm>
          <a:off x="11249025" y="90563700"/>
          <a:ext cx="104775" cy="224895"/>
        </a:xfrm>
        <a:prstGeom prst="rect">
          <a:avLst/>
        </a:prstGeom>
        <a:noFill/>
        <a:ln w="9525">
          <a:noFill/>
          <a:miter lim="800000"/>
          <a:headEnd/>
          <a:tailEnd/>
        </a:ln>
      </xdr:spPr>
    </xdr:sp>
    <xdr:clientData/>
  </xdr:oneCellAnchor>
  <xdr:oneCellAnchor>
    <xdr:from>
      <xdr:col>19</xdr:col>
      <xdr:colOff>85725</xdr:colOff>
      <xdr:row>303</xdr:row>
      <xdr:rowOff>0</xdr:rowOff>
    </xdr:from>
    <xdr:ext cx="104775" cy="224895"/>
    <xdr:sp macro="" textlink="">
      <xdr:nvSpPr>
        <xdr:cNvPr id="165" name="Text Box 98">
          <a:extLst>
            <a:ext uri="{FF2B5EF4-FFF2-40B4-BE49-F238E27FC236}">
              <a16:creationId xmlns:a16="http://schemas.microsoft.com/office/drawing/2014/main" id="{452AE475-DEAF-4346-B391-482064660B1D}"/>
            </a:ext>
          </a:extLst>
        </xdr:cNvPr>
        <xdr:cNvSpPr txBox="1">
          <a:spLocks noChangeArrowheads="1"/>
        </xdr:cNvSpPr>
      </xdr:nvSpPr>
      <xdr:spPr bwMode="auto">
        <a:xfrm>
          <a:off x="11249025" y="90563700"/>
          <a:ext cx="104775" cy="224895"/>
        </a:xfrm>
        <a:prstGeom prst="rect">
          <a:avLst/>
        </a:prstGeom>
        <a:noFill/>
        <a:ln w="9525">
          <a:noFill/>
          <a:miter lim="800000"/>
          <a:headEnd/>
          <a:tailEnd/>
        </a:ln>
      </xdr:spPr>
    </xdr:sp>
    <xdr:clientData/>
  </xdr:oneCellAnchor>
  <xdr:oneCellAnchor>
    <xdr:from>
      <xdr:col>19</xdr:col>
      <xdr:colOff>85725</xdr:colOff>
      <xdr:row>303</xdr:row>
      <xdr:rowOff>0</xdr:rowOff>
    </xdr:from>
    <xdr:ext cx="104775" cy="224895"/>
    <xdr:sp macro="" textlink="">
      <xdr:nvSpPr>
        <xdr:cNvPr id="166" name="Text Box 99">
          <a:extLst>
            <a:ext uri="{FF2B5EF4-FFF2-40B4-BE49-F238E27FC236}">
              <a16:creationId xmlns:a16="http://schemas.microsoft.com/office/drawing/2014/main" id="{00EA722D-B489-47B1-9C3B-4F555EE38198}"/>
            </a:ext>
          </a:extLst>
        </xdr:cNvPr>
        <xdr:cNvSpPr txBox="1">
          <a:spLocks noChangeArrowheads="1"/>
        </xdr:cNvSpPr>
      </xdr:nvSpPr>
      <xdr:spPr bwMode="auto">
        <a:xfrm>
          <a:off x="11249025" y="90563700"/>
          <a:ext cx="104775" cy="224895"/>
        </a:xfrm>
        <a:prstGeom prst="rect">
          <a:avLst/>
        </a:prstGeom>
        <a:noFill/>
        <a:ln w="9525">
          <a:noFill/>
          <a:miter lim="800000"/>
          <a:headEnd/>
          <a:tailEnd/>
        </a:ln>
      </xdr:spPr>
    </xdr:sp>
    <xdr:clientData/>
  </xdr:oneCellAnchor>
  <xdr:oneCellAnchor>
    <xdr:from>
      <xdr:col>19</xdr:col>
      <xdr:colOff>85725</xdr:colOff>
      <xdr:row>273</xdr:row>
      <xdr:rowOff>0</xdr:rowOff>
    </xdr:from>
    <xdr:ext cx="104775" cy="224895"/>
    <xdr:sp macro="" textlink="">
      <xdr:nvSpPr>
        <xdr:cNvPr id="167" name="Text Box 90">
          <a:extLst>
            <a:ext uri="{FF2B5EF4-FFF2-40B4-BE49-F238E27FC236}">
              <a16:creationId xmlns:a16="http://schemas.microsoft.com/office/drawing/2014/main" id="{0FDEC902-4C9A-4633-B33B-70DFDD6F50D0}"/>
            </a:ext>
          </a:extLst>
        </xdr:cNvPr>
        <xdr:cNvSpPr txBox="1">
          <a:spLocks noChangeArrowheads="1"/>
        </xdr:cNvSpPr>
      </xdr:nvSpPr>
      <xdr:spPr bwMode="auto">
        <a:xfrm>
          <a:off x="11249025" y="84181950"/>
          <a:ext cx="104775" cy="224895"/>
        </a:xfrm>
        <a:prstGeom prst="rect">
          <a:avLst/>
        </a:prstGeom>
        <a:noFill/>
        <a:ln w="9525">
          <a:noFill/>
          <a:miter lim="800000"/>
          <a:headEnd/>
          <a:tailEnd/>
        </a:ln>
      </xdr:spPr>
    </xdr:sp>
    <xdr:clientData/>
  </xdr:oneCellAnchor>
  <xdr:oneCellAnchor>
    <xdr:from>
      <xdr:col>19</xdr:col>
      <xdr:colOff>85725</xdr:colOff>
      <xdr:row>273</xdr:row>
      <xdr:rowOff>0</xdr:rowOff>
    </xdr:from>
    <xdr:ext cx="104775" cy="224895"/>
    <xdr:sp macro="" textlink="">
      <xdr:nvSpPr>
        <xdr:cNvPr id="168" name="Text Box 91">
          <a:extLst>
            <a:ext uri="{FF2B5EF4-FFF2-40B4-BE49-F238E27FC236}">
              <a16:creationId xmlns:a16="http://schemas.microsoft.com/office/drawing/2014/main" id="{32BB2C12-C4F9-45EC-BAD9-3D672C0650A2}"/>
            </a:ext>
          </a:extLst>
        </xdr:cNvPr>
        <xdr:cNvSpPr txBox="1">
          <a:spLocks noChangeArrowheads="1"/>
        </xdr:cNvSpPr>
      </xdr:nvSpPr>
      <xdr:spPr bwMode="auto">
        <a:xfrm>
          <a:off x="11249025" y="84181950"/>
          <a:ext cx="104775" cy="224895"/>
        </a:xfrm>
        <a:prstGeom prst="rect">
          <a:avLst/>
        </a:prstGeom>
        <a:noFill/>
        <a:ln w="9525">
          <a:noFill/>
          <a:miter lim="800000"/>
          <a:headEnd/>
          <a:tailEnd/>
        </a:ln>
      </xdr:spPr>
    </xdr:sp>
    <xdr:clientData/>
  </xdr:oneCellAnchor>
  <xdr:oneCellAnchor>
    <xdr:from>
      <xdr:col>19</xdr:col>
      <xdr:colOff>85725</xdr:colOff>
      <xdr:row>273</xdr:row>
      <xdr:rowOff>0</xdr:rowOff>
    </xdr:from>
    <xdr:ext cx="104775" cy="224895"/>
    <xdr:sp macro="" textlink="">
      <xdr:nvSpPr>
        <xdr:cNvPr id="169" name="Text Box 92">
          <a:extLst>
            <a:ext uri="{FF2B5EF4-FFF2-40B4-BE49-F238E27FC236}">
              <a16:creationId xmlns:a16="http://schemas.microsoft.com/office/drawing/2014/main" id="{487D2068-C748-44A8-B518-FD02FF2A372A}"/>
            </a:ext>
          </a:extLst>
        </xdr:cNvPr>
        <xdr:cNvSpPr txBox="1">
          <a:spLocks noChangeArrowheads="1"/>
        </xdr:cNvSpPr>
      </xdr:nvSpPr>
      <xdr:spPr bwMode="auto">
        <a:xfrm>
          <a:off x="11249025" y="84181950"/>
          <a:ext cx="104775" cy="224895"/>
        </a:xfrm>
        <a:prstGeom prst="rect">
          <a:avLst/>
        </a:prstGeom>
        <a:noFill/>
        <a:ln w="9525">
          <a:noFill/>
          <a:miter lim="800000"/>
          <a:headEnd/>
          <a:tailEnd/>
        </a:ln>
      </xdr:spPr>
    </xdr:sp>
    <xdr:clientData/>
  </xdr:oneCellAnchor>
  <xdr:oneCellAnchor>
    <xdr:from>
      <xdr:col>19</xdr:col>
      <xdr:colOff>85725</xdr:colOff>
      <xdr:row>273</xdr:row>
      <xdr:rowOff>0</xdr:rowOff>
    </xdr:from>
    <xdr:ext cx="104775" cy="224895"/>
    <xdr:sp macro="" textlink="">
      <xdr:nvSpPr>
        <xdr:cNvPr id="170" name="Text Box 93">
          <a:extLst>
            <a:ext uri="{FF2B5EF4-FFF2-40B4-BE49-F238E27FC236}">
              <a16:creationId xmlns:a16="http://schemas.microsoft.com/office/drawing/2014/main" id="{1482221D-D50F-460B-8EE7-85E12D3BAF95}"/>
            </a:ext>
          </a:extLst>
        </xdr:cNvPr>
        <xdr:cNvSpPr txBox="1">
          <a:spLocks noChangeArrowheads="1"/>
        </xdr:cNvSpPr>
      </xdr:nvSpPr>
      <xdr:spPr bwMode="auto">
        <a:xfrm>
          <a:off x="11249025" y="84181950"/>
          <a:ext cx="104775" cy="224895"/>
        </a:xfrm>
        <a:prstGeom prst="rect">
          <a:avLst/>
        </a:prstGeom>
        <a:noFill/>
        <a:ln w="9525">
          <a:noFill/>
          <a:miter lim="800000"/>
          <a:headEnd/>
          <a:tailEnd/>
        </a:ln>
      </xdr:spPr>
    </xdr:sp>
    <xdr:clientData/>
  </xdr:oneCellAnchor>
  <xdr:oneCellAnchor>
    <xdr:from>
      <xdr:col>19</xdr:col>
      <xdr:colOff>85725</xdr:colOff>
      <xdr:row>273</xdr:row>
      <xdr:rowOff>0</xdr:rowOff>
    </xdr:from>
    <xdr:ext cx="104775" cy="224895"/>
    <xdr:sp macro="" textlink="">
      <xdr:nvSpPr>
        <xdr:cNvPr id="171" name="Text Box 94">
          <a:extLst>
            <a:ext uri="{FF2B5EF4-FFF2-40B4-BE49-F238E27FC236}">
              <a16:creationId xmlns:a16="http://schemas.microsoft.com/office/drawing/2014/main" id="{5DE82748-85F7-4BB4-95E2-19CD73DF2C5F}"/>
            </a:ext>
          </a:extLst>
        </xdr:cNvPr>
        <xdr:cNvSpPr txBox="1">
          <a:spLocks noChangeArrowheads="1"/>
        </xdr:cNvSpPr>
      </xdr:nvSpPr>
      <xdr:spPr bwMode="auto">
        <a:xfrm>
          <a:off x="11249025" y="84181950"/>
          <a:ext cx="104775" cy="224895"/>
        </a:xfrm>
        <a:prstGeom prst="rect">
          <a:avLst/>
        </a:prstGeom>
        <a:noFill/>
        <a:ln w="9525">
          <a:noFill/>
          <a:miter lim="800000"/>
          <a:headEnd/>
          <a:tailEnd/>
        </a:ln>
      </xdr:spPr>
    </xdr:sp>
    <xdr:clientData/>
  </xdr:oneCellAnchor>
  <xdr:oneCellAnchor>
    <xdr:from>
      <xdr:col>19</xdr:col>
      <xdr:colOff>85725</xdr:colOff>
      <xdr:row>273</xdr:row>
      <xdr:rowOff>0</xdr:rowOff>
    </xdr:from>
    <xdr:ext cx="104775" cy="224895"/>
    <xdr:sp macro="" textlink="">
      <xdr:nvSpPr>
        <xdr:cNvPr id="172" name="Text Box 95">
          <a:extLst>
            <a:ext uri="{FF2B5EF4-FFF2-40B4-BE49-F238E27FC236}">
              <a16:creationId xmlns:a16="http://schemas.microsoft.com/office/drawing/2014/main" id="{7BE56618-DCF7-4906-B86D-2D6E3606CBD9}"/>
            </a:ext>
          </a:extLst>
        </xdr:cNvPr>
        <xdr:cNvSpPr txBox="1">
          <a:spLocks noChangeArrowheads="1"/>
        </xdr:cNvSpPr>
      </xdr:nvSpPr>
      <xdr:spPr bwMode="auto">
        <a:xfrm>
          <a:off x="11249025" y="84181950"/>
          <a:ext cx="104775" cy="224895"/>
        </a:xfrm>
        <a:prstGeom prst="rect">
          <a:avLst/>
        </a:prstGeom>
        <a:noFill/>
        <a:ln w="9525">
          <a:noFill/>
          <a:miter lim="800000"/>
          <a:headEnd/>
          <a:tailEnd/>
        </a:ln>
      </xdr:spPr>
    </xdr:sp>
    <xdr:clientData/>
  </xdr:oneCellAnchor>
  <xdr:oneCellAnchor>
    <xdr:from>
      <xdr:col>19</xdr:col>
      <xdr:colOff>85725</xdr:colOff>
      <xdr:row>273</xdr:row>
      <xdr:rowOff>0</xdr:rowOff>
    </xdr:from>
    <xdr:ext cx="104775" cy="224895"/>
    <xdr:sp macro="" textlink="">
      <xdr:nvSpPr>
        <xdr:cNvPr id="173" name="Text Box 96">
          <a:extLst>
            <a:ext uri="{FF2B5EF4-FFF2-40B4-BE49-F238E27FC236}">
              <a16:creationId xmlns:a16="http://schemas.microsoft.com/office/drawing/2014/main" id="{3686602A-AF1A-499B-BCB0-7149A3A36420}"/>
            </a:ext>
          </a:extLst>
        </xdr:cNvPr>
        <xdr:cNvSpPr txBox="1">
          <a:spLocks noChangeArrowheads="1"/>
        </xdr:cNvSpPr>
      </xdr:nvSpPr>
      <xdr:spPr bwMode="auto">
        <a:xfrm>
          <a:off x="11249025" y="84181950"/>
          <a:ext cx="104775" cy="224895"/>
        </a:xfrm>
        <a:prstGeom prst="rect">
          <a:avLst/>
        </a:prstGeom>
        <a:noFill/>
        <a:ln w="9525">
          <a:noFill/>
          <a:miter lim="800000"/>
          <a:headEnd/>
          <a:tailEnd/>
        </a:ln>
      </xdr:spPr>
    </xdr:sp>
    <xdr:clientData/>
  </xdr:oneCellAnchor>
  <xdr:oneCellAnchor>
    <xdr:from>
      <xdr:col>19</xdr:col>
      <xdr:colOff>85725</xdr:colOff>
      <xdr:row>273</xdr:row>
      <xdr:rowOff>0</xdr:rowOff>
    </xdr:from>
    <xdr:ext cx="104775" cy="224895"/>
    <xdr:sp macro="" textlink="">
      <xdr:nvSpPr>
        <xdr:cNvPr id="174" name="Text Box 97">
          <a:extLst>
            <a:ext uri="{FF2B5EF4-FFF2-40B4-BE49-F238E27FC236}">
              <a16:creationId xmlns:a16="http://schemas.microsoft.com/office/drawing/2014/main" id="{4CCF607F-B823-4EBE-9F00-6FFA0E4D3D36}"/>
            </a:ext>
          </a:extLst>
        </xdr:cNvPr>
        <xdr:cNvSpPr txBox="1">
          <a:spLocks noChangeArrowheads="1"/>
        </xdr:cNvSpPr>
      </xdr:nvSpPr>
      <xdr:spPr bwMode="auto">
        <a:xfrm>
          <a:off x="11249025" y="84181950"/>
          <a:ext cx="104775" cy="224895"/>
        </a:xfrm>
        <a:prstGeom prst="rect">
          <a:avLst/>
        </a:prstGeom>
        <a:noFill/>
        <a:ln w="9525">
          <a:noFill/>
          <a:miter lim="800000"/>
          <a:headEnd/>
          <a:tailEnd/>
        </a:ln>
      </xdr:spPr>
    </xdr:sp>
    <xdr:clientData/>
  </xdr:oneCellAnchor>
  <xdr:oneCellAnchor>
    <xdr:from>
      <xdr:col>19</xdr:col>
      <xdr:colOff>85725</xdr:colOff>
      <xdr:row>273</xdr:row>
      <xdr:rowOff>0</xdr:rowOff>
    </xdr:from>
    <xdr:ext cx="104775" cy="224895"/>
    <xdr:sp macro="" textlink="">
      <xdr:nvSpPr>
        <xdr:cNvPr id="175" name="Text Box 98">
          <a:extLst>
            <a:ext uri="{FF2B5EF4-FFF2-40B4-BE49-F238E27FC236}">
              <a16:creationId xmlns:a16="http://schemas.microsoft.com/office/drawing/2014/main" id="{EDDE042D-D6BE-431B-B67D-CF9C851AF416}"/>
            </a:ext>
          </a:extLst>
        </xdr:cNvPr>
        <xdr:cNvSpPr txBox="1">
          <a:spLocks noChangeArrowheads="1"/>
        </xdr:cNvSpPr>
      </xdr:nvSpPr>
      <xdr:spPr bwMode="auto">
        <a:xfrm>
          <a:off x="11249025" y="84181950"/>
          <a:ext cx="104775" cy="224895"/>
        </a:xfrm>
        <a:prstGeom prst="rect">
          <a:avLst/>
        </a:prstGeom>
        <a:noFill/>
        <a:ln w="9525">
          <a:noFill/>
          <a:miter lim="800000"/>
          <a:headEnd/>
          <a:tailEnd/>
        </a:ln>
      </xdr:spPr>
    </xdr:sp>
    <xdr:clientData/>
  </xdr:oneCellAnchor>
  <xdr:oneCellAnchor>
    <xdr:from>
      <xdr:col>19</xdr:col>
      <xdr:colOff>85725</xdr:colOff>
      <xdr:row>273</xdr:row>
      <xdr:rowOff>0</xdr:rowOff>
    </xdr:from>
    <xdr:ext cx="104775" cy="224895"/>
    <xdr:sp macro="" textlink="">
      <xdr:nvSpPr>
        <xdr:cNvPr id="176" name="Text Box 99">
          <a:extLst>
            <a:ext uri="{FF2B5EF4-FFF2-40B4-BE49-F238E27FC236}">
              <a16:creationId xmlns:a16="http://schemas.microsoft.com/office/drawing/2014/main" id="{0CE102D0-5CFE-404C-8942-58FC76945BAD}"/>
            </a:ext>
          </a:extLst>
        </xdr:cNvPr>
        <xdr:cNvSpPr txBox="1">
          <a:spLocks noChangeArrowheads="1"/>
        </xdr:cNvSpPr>
      </xdr:nvSpPr>
      <xdr:spPr bwMode="auto">
        <a:xfrm>
          <a:off x="11249025" y="84181950"/>
          <a:ext cx="104775" cy="224895"/>
        </a:xfrm>
        <a:prstGeom prst="rect">
          <a:avLst/>
        </a:prstGeom>
        <a:noFill/>
        <a:ln w="9525">
          <a:noFill/>
          <a:miter lim="800000"/>
          <a:headEnd/>
          <a:tailEnd/>
        </a:ln>
      </xdr:spPr>
    </xdr:sp>
    <xdr:clientData/>
  </xdr:oneCellAnchor>
  <xdr:oneCellAnchor>
    <xdr:from>
      <xdr:col>16</xdr:col>
      <xdr:colOff>85725</xdr:colOff>
      <xdr:row>313</xdr:row>
      <xdr:rowOff>0</xdr:rowOff>
    </xdr:from>
    <xdr:ext cx="104775" cy="224896"/>
    <xdr:sp macro="" textlink="">
      <xdr:nvSpPr>
        <xdr:cNvPr id="177" name="Text Box 64">
          <a:extLst>
            <a:ext uri="{FF2B5EF4-FFF2-40B4-BE49-F238E27FC236}">
              <a16:creationId xmlns:a16="http://schemas.microsoft.com/office/drawing/2014/main" id="{19452D42-819C-4315-BB40-96E75678614D}"/>
            </a:ext>
          </a:extLst>
        </xdr:cNvPr>
        <xdr:cNvSpPr txBox="1">
          <a:spLocks noChangeArrowheads="1"/>
        </xdr:cNvSpPr>
      </xdr:nvSpPr>
      <xdr:spPr bwMode="auto">
        <a:xfrm>
          <a:off x="8839200" y="92706825"/>
          <a:ext cx="104775" cy="224896"/>
        </a:xfrm>
        <a:prstGeom prst="rect">
          <a:avLst/>
        </a:prstGeom>
        <a:noFill/>
        <a:ln w="9525">
          <a:noFill/>
          <a:miter lim="800000"/>
          <a:headEnd/>
          <a:tailEnd/>
        </a:ln>
      </xdr:spPr>
    </xdr:sp>
    <xdr:clientData/>
  </xdr:oneCellAnchor>
  <xdr:oneCellAnchor>
    <xdr:from>
      <xdr:col>16</xdr:col>
      <xdr:colOff>85725</xdr:colOff>
      <xdr:row>313</xdr:row>
      <xdr:rowOff>0</xdr:rowOff>
    </xdr:from>
    <xdr:ext cx="104775" cy="224896"/>
    <xdr:sp macro="" textlink="">
      <xdr:nvSpPr>
        <xdr:cNvPr id="178" name="Text Box 65">
          <a:extLst>
            <a:ext uri="{FF2B5EF4-FFF2-40B4-BE49-F238E27FC236}">
              <a16:creationId xmlns:a16="http://schemas.microsoft.com/office/drawing/2014/main" id="{F75D70E4-905F-41B4-962E-4DD26D6010F1}"/>
            </a:ext>
          </a:extLst>
        </xdr:cNvPr>
        <xdr:cNvSpPr txBox="1">
          <a:spLocks noChangeArrowheads="1"/>
        </xdr:cNvSpPr>
      </xdr:nvSpPr>
      <xdr:spPr bwMode="auto">
        <a:xfrm>
          <a:off x="8839200" y="92706825"/>
          <a:ext cx="104775" cy="224896"/>
        </a:xfrm>
        <a:prstGeom prst="rect">
          <a:avLst/>
        </a:prstGeom>
        <a:noFill/>
        <a:ln w="9525">
          <a:noFill/>
          <a:miter lim="800000"/>
          <a:headEnd/>
          <a:tailEnd/>
        </a:ln>
      </xdr:spPr>
    </xdr:sp>
    <xdr:clientData/>
  </xdr:oneCellAnchor>
  <xdr:oneCellAnchor>
    <xdr:from>
      <xdr:col>16</xdr:col>
      <xdr:colOff>85725</xdr:colOff>
      <xdr:row>313</xdr:row>
      <xdr:rowOff>0</xdr:rowOff>
    </xdr:from>
    <xdr:ext cx="104775" cy="224896"/>
    <xdr:sp macro="" textlink="">
      <xdr:nvSpPr>
        <xdr:cNvPr id="179" name="Text Box 66">
          <a:extLst>
            <a:ext uri="{FF2B5EF4-FFF2-40B4-BE49-F238E27FC236}">
              <a16:creationId xmlns:a16="http://schemas.microsoft.com/office/drawing/2014/main" id="{20D0FE0D-B98E-4CB3-A2FD-E5BBFC92CAD6}"/>
            </a:ext>
          </a:extLst>
        </xdr:cNvPr>
        <xdr:cNvSpPr txBox="1">
          <a:spLocks noChangeArrowheads="1"/>
        </xdr:cNvSpPr>
      </xdr:nvSpPr>
      <xdr:spPr bwMode="auto">
        <a:xfrm>
          <a:off x="8839200" y="92706825"/>
          <a:ext cx="104775" cy="224896"/>
        </a:xfrm>
        <a:prstGeom prst="rect">
          <a:avLst/>
        </a:prstGeom>
        <a:noFill/>
        <a:ln w="9525">
          <a:noFill/>
          <a:miter lim="800000"/>
          <a:headEnd/>
          <a:tailEnd/>
        </a:ln>
      </xdr:spPr>
    </xdr:sp>
    <xdr:clientData/>
  </xdr:oneCellAnchor>
  <xdr:oneCellAnchor>
    <xdr:from>
      <xdr:col>16</xdr:col>
      <xdr:colOff>85725</xdr:colOff>
      <xdr:row>313</xdr:row>
      <xdr:rowOff>0</xdr:rowOff>
    </xdr:from>
    <xdr:ext cx="104775" cy="224896"/>
    <xdr:sp macro="" textlink="">
      <xdr:nvSpPr>
        <xdr:cNvPr id="180" name="Text Box 67">
          <a:extLst>
            <a:ext uri="{FF2B5EF4-FFF2-40B4-BE49-F238E27FC236}">
              <a16:creationId xmlns:a16="http://schemas.microsoft.com/office/drawing/2014/main" id="{681DB57B-8F7F-4B39-82E7-55881113CEE0}"/>
            </a:ext>
          </a:extLst>
        </xdr:cNvPr>
        <xdr:cNvSpPr txBox="1">
          <a:spLocks noChangeArrowheads="1"/>
        </xdr:cNvSpPr>
      </xdr:nvSpPr>
      <xdr:spPr bwMode="auto">
        <a:xfrm>
          <a:off x="8839200" y="92706825"/>
          <a:ext cx="104775" cy="224896"/>
        </a:xfrm>
        <a:prstGeom prst="rect">
          <a:avLst/>
        </a:prstGeom>
        <a:noFill/>
        <a:ln w="9525">
          <a:noFill/>
          <a:miter lim="800000"/>
          <a:headEnd/>
          <a:tailEnd/>
        </a:ln>
      </xdr:spPr>
    </xdr:sp>
    <xdr:clientData/>
  </xdr:oneCellAnchor>
  <xdr:oneCellAnchor>
    <xdr:from>
      <xdr:col>16</xdr:col>
      <xdr:colOff>85725</xdr:colOff>
      <xdr:row>313</xdr:row>
      <xdr:rowOff>0</xdr:rowOff>
    </xdr:from>
    <xdr:ext cx="104775" cy="215370"/>
    <xdr:sp macro="" textlink="">
      <xdr:nvSpPr>
        <xdr:cNvPr id="181" name="Text Box 90">
          <a:extLst>
            <a:ext uri="{FF2B5EF4-FFF2-40B4-BE49-F238E27FC236}">
              <a16:creationId xmlns:a16="http://schemas.microsoft.com/office/drawing/2014/main" id="{B48D86C4-AE95-42A5-B7F6-12F2384E7AFF}"/>
            </a:ext>
          </a:extLst>
        </xdr:cNvPr>
        <xdr:cNvSpPr txBox="1">
          <a:spLocks noChangeArrowheads="1"/>
        </xdr:cNvSpPr>
      </xdr:nvSpPr>
      <xdr:spPr bwMode="auto">
        <a:xfrm>
          <a:off x="8839200" y="92706825"/>
          <a:ext cx="104775" cy="215370"/>
        </a:xfrm>
        <a:prstGeom prst="rect">
          <a:avLst/>
        </a:prstGeom>
        <a:noFill/>
        <a:ln w="9525">
          <a:noFill/>
          <a:miter lim="800000"/>
          <a:headEnd/>
          <a:tailEnd/>
        </a:ln>
      </xdr:spPr>
    </xdr:sp>
    <xdr:clientData/>
  </xdr:oneCellAnchor>
  <xdr:oneCellAnchor>
    <xdr:from>
      <xdr:col>16</xdr:col>
      <xdr:colOff>85725</xdr:colOff>
      <xdr:row>313</xdr:row>
      <xdr:rowOff>0</xdr:rowOff>
    </xdr:from>
    <xdr:ext cx="104775" cy="215370"/>
    <xdr:sp macro="" textlink="">
      <xdr:nvSpPr>
        <xdr:cNvPr id="182" name="Text Box 91">
          <a:extLst>
            <a:ext uri="{FF2B5EF4-FFF2-40B4-BE49-F238E27FC236}">
              <a16:creationId xmlns:a16="http://schemas.microsoft.com/office/drawing/2014/main" id="{B1686CEC-5215-4636-9059-072D0906AD06}"/>
            </a:ext>
          </a:extLst>
        </xdr:cNvPr>
        <xdr:cNvSpPr txBox="1">
          <a:spLocks noChangeArrowheads="1"/>
        </xdr:cNvSpPr>
      </xdr:nvSpPr>
      <xdr:spPr bwMode="auto">
        <a:xfrm>
          <a:off x="8839200" y="92706825"/>
          <a:ext cx="104775" cy="215370"/>
        </a:xfrm>
        <a:prstGeom prst="rect">
          <a:avLst/>
        </a:prstGeom>
        <a:noFill/>
        <a:ln w="9525">
          <a:noFill/>
          <a:miter lim="800000"/>
          <a:headEnd/>
          <a:tailEnd/>
        </a:ln>
      </xdr:spPr>
    </xdr:sp>
    <xdr:clientData/>
  </xdr:oneCellAnchor>
  <xdr:oneCellAnchor>
    <xdr:from>
      <xdr:col>16</xdr:col>
      <xdr:colOff>85725</xdr:colOff>
      <xdr:row>313</xdr:row>
      <xdr:rowOff>0</xdr:rowOff>
    </xdr:from>
    <xdr:ext cx="104775" cy="215370"/>
    <xdr:sp macro="" textlink="">
      <xdr:nvSpPr>
        <xdr:cNvPr id="183" name="Text Box 92">
          <a:extLst>
            <a:ext uri="{FF2B5EF4-FFF2-40B4-BE49-F238E27FC236}">
              <a16:creationId xmlns:a16="http://schemas.microsoft.com/office/drawing/2014/main" id="{3BA65920-2F06-4BB3-9FD6-7CBAF316E669}"/>
            </a:ext>
          </a:extLst>
        </xdr:cNvPr>
        <xdr:cNvSpPr txBox="1">
          <a:spLocks noChangeArrowheads="1"/>
        </xdr:cNvSpPr>
      </xdr:nvSpPr>
      <xdr:spPr bwMode="auto">
        <a:xfrm>
          <a:off x="8839200" y="92706825"/>
          <a:ext cx="104775" cy="215370"/>
        </a:xfrm>
        <a:prstGeom prst="rect">
          <a:avLst/>
        </a:prstGeom>
        <a:noFill/>
        <a:ln w="9525">
          <a:noFill/>
          <a:miter lim="800000"/>
          <a:headEnd/>
          <a:tailEnd/>
        </a:ln>
      </xdr:spPr>
    </xdr:sp>
    <xdr:clientData/>
  </xdr:oneCellAnchor>
  <xdr:oneCellAnchor>
    <xdr:from>
      <xdr:col>16</xdr:col>
      <xdr:colOff>85725</xdr:colOff>
      <xdr:row>313</xdr:row>
      <xdr:rowOff>0</xdr:rowOff>
    </xdr:from>
    <xdr:ext cx="104775" cy="215370"/>
    <xdr:sp macro="" textlink="">
      <xdr:nvSpPr>
        <xdr:cNvPr id="184" name="Text Box 93">
          <a:extLst>
            <a:ext uri="{FF2B5EF4-FFF2-40B4-BE49-F238E27FC236}">
              <a16:creationId xmlns:a16="http://schemas.microsoft.com/office/drawing/2014/main" id="{DDEF138E-3A3A-4D71-9041-28D07110F734}"/>
            </a:ext>
          </a:extLst>
        </xdr:cNvPr>
        <xdr:cNvSpPr txBox="1">
          <a:spLocks noChangeArrowheads="1"/>
        </xdr:cNvSpPr>
      </xdr:nvSpPr>
      <xdr:spPr bwMode="auto">
        <a:xfrm>
          <a:off x="8839200" y="92706825"/>
          <a:ext cx="104775" cy="215370"/>
        </a:xfrm>
        <a:prstGeom prst="rect">
          <a:avLst/>
        </a:prstGeom>
        <a:noFill/>
        <a:ln w="9525">
          <a:noFill/>
          <a:miter lim="800000"/>
          <a:headEnd/>
          <a:tailEnd/>
        </a:ln>
      </xdr:spPr>
    </xdr:sp>
    <xdr:clientData/>
  </xdr:oneCellAnchor>
  <xdr:oneCellAnchor>
    <xdr:from>
      <xdr:col>16</xdr:col>
      <xdr:colOff>85725</xdr:colOff>
      <xdr:row>313</xdr:row>
      <xdr:rowOff>0</xdr:rowOff>
    </xdr:from>
    <xdr:ext cx="104775" cy="215370"/>
    <xdr:sp macro="" textlink="">
      <xdr:nvSpPr>
        <xdr:cNvPr id="185" name="Text Box 94">
          <a:extLst>
            <a:ext uri="{FF2B5EF4-FFF2-40B4-BE49-F238E27FC236}">
              <a16:creationId xmlns:a16="http://schemas.microsoft.com/office/drawing/2014/main" id="{8BBC76F8-E30B-4EFB-A35D-59D8E7DC80C6}"/>
            </a:ext>
          </a:extLst>
        </xdr:cNvPr>
        <xdr:cNvSpPr txBox="1">
          <a:spLocks noChangeArrowheads="1"/>
        </xdr:cNvSpPr>
      </xdr:nvSpPr>
      <xdr:spPr bwMode="auto">
        <a:xfrm>
          <a:off x="8839200" y="92706825"/>
          <a:ext cx="104775" cy="215370"/>
        </a:xfrm>
        <a:prstGeom prst="rect">
          <a:avLst/>
        </a:prstGeom>
        <a:noFill/>
        <a:ln w="9525">
          <a:noFill/>
          <a:miter lim="800000"/>
          <a:headEnd/>
          <a:tailEnd/>
        </a:ln>
      </xdr:spPr>
    </xdr:sp>
    <xdr:clientData/>
  </xdr:oneCellAnchor>
  <xdr:oneCellAnchor>
    <xdr:from>
      <xdr:col>16</xdr:col>
      <xdr:colOff>85725</xdr:colOff>
      <xdr:row>313</xdr:row>
      <xdr:rowOff>0</xdr:rowOff>
    </xdr:from>
    <xdr:ext cx="104775" cy="215370"/>
    <xdr:sp macro="" textlink="">
      <xdr:nvSpPr>
        <xdr:cNvPr id="186" name="Text Box 95">
          <a:extLst>
            <a:ext uri="{FF2B5EF4-FFF2-40B4-BE49-F238E27FC236}">
              <a16:creationId xmlns:a16="http://schemas.microsoft.com/office/drawing/2014/main" id="{11A871CD-A1D9-43EC-9574-D2E14067CA3D}"/>
            </a:ext>
          </a:extLst>
        </xdr:cNvPr>
        <xdr:cNvSpPr txBox="1">
          <a:spLocks noChangeArrowheads="1"/>
        </xdr:cNvSpPr>
      </xdr:nvSpPr>
      <xdr:spPr bwMode="auto">
        <a:xfrm>
          <a:off x="8839200" y="92706825"/>
          <a:ext cx="104775" cy="215370"/>
        </a:xfrm>
        <a:prstGeom prst="rect">
          <a:avLst/>
        </a:prstGeom>
        <a:noFill/>
        <a:ln w="9525">
          <a:noFill/>
          <a:miter lim="800000"/>
          <a:headEnd/>
          <a:tailEnd/>
        </a:ln>
      </xdr:spPr>
    </xdr:sp>
    <xdr:clientData/>
  </xdr:oneCellAnchor>
  <xdr:oneCellAnchor>
    <xdr:from>
      <xdr:col>16</xdr:col>
      <xdr:colOff>85725</xdr:colOff>
      <xdr:row>313</xdr:row>
      <xdr:rowOff>0</xdr:rowOff>
    </xdr:from>
    <xdr:ext cx="104775" cy="215370"/>
    <xdr:sp macro="" textlink="">
      <xdr:nvSpPr>
        <xdr:cNvPr id="187" name="Text Box 96">
          <a:extLst>
            <a:ext uri="{FF2B5EF4-FFF2-40B4-BE49-F238E27FC236}">
              <a16:creationId xmlns:a16="http://schemas.microsoft.com/office/drawing/2014/main" id="{FC6B0D09-FB2E-457A-A4C6-5CCA837CDFE8}"/>
            </a:ext>
          </a:extLst>
        </xdr:cNvPr>
        <xdr:cNvSpPr txBox="1">
          <a:spLocks noChangeArrowheads="1"/>
        </xdr:cNvSpPr>
      </xdr:nvSpPr>
      <xdr:spPr bwMode="auto">
        <a:xfrm>
          <a:off x="8839200" y="92706825"/>
          <a:ext cx="104775" cy="215370"/>
        </a:xfrm>
        <a:prstGeom prst="rect">
          <a:avLst/>
        </a:prstGeom>
        <a:noFill/>
        <a:ln w="9525">
          <a:noFill/>
          <a:miter lim="800000"/>
          <a:headEnd/>
          <a:tailEnd/>
        </a:ln>
      </xdr:spPr>
    </xdr:sp>
    <xdr:clientData/>
  </xdr:oneCellAnchor>
  <xdr:oneCellAnchor>
    <xdr:from>
      <xdr:col>16</xdr:col>
      <xdr:colOff>85725</xdr:colOff>
      <xdr:row>313</xdr:row>
      <xdr:rowOff>0</xdr:rowOff>
    </xdr:from>
    <xdr:ext cx="104775" cy="215370"/>
    <xdr:sp macro="" textlink="">
      <xdr:nvSpPr>
        <xdr:cNvPr id="188" name="Text Box 97">
          <a:extLst>
            <a:ext uri="{FF2B5EF4-FFF2-40B4-BE49-F238E27FC236}">
              <a16:creationId xmlns:a16="http://schemas.microsoft.com/office/drawing/2014/main" id="{39B70EB2-E506-4CF9-B84D-CD5C17E9E135}"/>
            </a:ext>
          </a:extLst>
        </xdr:cNvPr>
        <xdr:cNvSpPr txBox="1">
          <a:spLocks noChangeArrowheads="1"/>
        </xdr:cNvSpPr>
      </xdr:nvSpPr>
      <xdr:spPr bwMode="auto">
        <a:xfrm>
          <a:off x="8839200" y="92706825"/>
          <a:ext cx="104775" cy="215370"/>
        </a:xfrm>
        <a:prstGeom prst="rect">
          <a:avLst/>
        </a:prstGeom>
        <a:noFill/>
        <a:ln w="9525">
          <a:noFill/>
          <a:miter lim="800000"/>
          <a:headEnd/>
          <a:tailEnd/>
        </a:ln>
      </xdr:spPr>
    </xdr:sp>
    <xdr:clientData/>
  </xdr:oneCellAnchor>
  <xdr:oneCellAnchor>
    <xdr:from>
      <xdr:col>16</xdr:col>
      <xdr:colOff>85725</xdr:colOff>
      <xdr:row>313</xdr:row>
      <xdr:rowOff>0</xdr:rowOff>
    </xdr:from>
    <xdr:ext cx="104775" cy="215370"/>
    <xdr:sp macro="" textlink="">
      <xdr:nvSpPr>
        <xdr:cNvPr id="189" name="Text Box 98">
          <a:extLst>
            <a:ext uri="{FF2B5EF4-FFF2-40B4-BE49-F238E27FC236}">
              <a16:creationId xmlns:a16="http://schemas.microsoft.com/office/drawing/2014/main" id="{03345464-70D6-468B-8543-16F8CD945778}"/>
            </a:ext>
          </a:extLst>
        </xdr:cNvPr>
        <xdr:cNvSpPr txBox="1">
          <a:spLocks noChangeArrowheads="1"/>
        </xdr:cNvSpPr>
      </xdr:nvSpPr>
      <xdr:spPr bwMode="auto">
        <a:xfrm>
          <a:off x="8839200" y="92706825"/>
          <a:ext cx="104775" cy="215370"/>
        </a:xfrm>
        <a:prstGeom prst="rect">
          <a:avLst/>
        </a:prstGeom>
        <a:noFill/>
        <a:ln w="9525">
          <a:noFill/>
          <a:miter lim="800000"/>
          <a:headEnd/>
          <a:tailEnd/>
        </a:ln>
      </xdr:spPr>
    </xdr:sp>
    <xdr:clientData/>
  </xdr:oneCellAnchor>
  <xdr:oneCellAnchor>
    <xdr:from>
      <xdr:col>16</xdr:col>
      <xdr:colOff>85725</xdr:colOff>
      <xdr:row>313</xdr:row>
      <xdr:rowOff>0</xdr:rowOff>
    </xdr:from>
    <xdr:ext cx="104775" cy="215370"/>
    <xdr:sp macro="" textlink="">
      <xdr:nvSpPr>
        <xdr:cNvPr id="190" name="Text Box 99">
          <a:extLst>
            <a:ext uri="{FF2B5EF4-FFF2-40B4-BE49-F238E27FC236}">
              <a16:creationId xmlns:a16="http://schemas.microsoft.com/office/drawing/2014/main" id="{CB321CD3-CFD4-4DBB-8BCB-948A1E94244A}"/>
            </a:ext>
          </a:extLst>
        </xdr:cNvPr>
        <xdr:cNvSpPr txBox="1">
          <a:spLocks noChangeArrowheads="1"/>
        </xdr:cNvSpPr>
      </xdr:nvSpPr>
      <xdr:spPr bwMode="auto">
        <a:xfrm>
          <a:off x="8839200" y="92706825"/>
          <a:ext cx="104775" cy="215370"/>
        </a:xfrm>
        <a:prstGeom prst="rect">
          <a:avLst/>
        </a:prstGeom>
        <a:noFill/>
        <a:ln w="9525">
          <a:noFill/>
          <a:miter lim="800000"/>
          <a:headEnd/>
          <a:tailEnd/>
        </a:ln>
      </xdr:spPr>
    </xdr:sp>
    <xdr:clientData/>
  </xdr:oneCellAnchor>
  <xdr:oneCellAnchor>
    <xdr:from>
      <xdr:col>20</xdr:col>
      <xdr:colOff>85725</xdr:colOff>
      <xdr:row>317</xdr:row>
      <xdr:rowOff>0</xdr:rowOff>
    </xdr:from>
    <xdr:ext cx="104775" cy="224897"/>
    <xdr:sp macro="" textlink="">
      <xdr:nvSpPr>
        <xdr:cNvPr id="191" name="Text Box 24">
          <a:extLst>
            <a:ext uri="{FF2B5EF4-FFF2-40B4-BE49-F238E27FC236}">
              <a16:creationId xmlns:a16="http://schemas.microsoft.com/office/drawing/2014/main" id="{E3177794-1230-474E-83A3-F027CB5644E1}"/>
            </a:ext>
          </a:extLst>
        </xdr:cNvPr>
        <xdr:cNvSpPr txBox="1">
          <a:spLocks noChangeArrowheads="1"/>
        </xdr:cNvSpPr>
      </xdr:nvSpPr>
      <xdr:spPr bwMode="auto">
        <a:xfrm>
          <a:off x="11896725" y="93545025"/>
          <a:ext cx="104775" cy="224897"/>
        </a:xfrm>
        <a:prstGeom prst="rect">
          <a:avLst/>
        </a:prstGeom>
        <a:noFill/>
        <a:ln w="9525">
          <a:noFill/>
          <a:miter lim="800000"/>
          <a:headEnd/>
          <a:tailEnd/>
        </a:ln>
      </xdr:spPr>
    </xdr:sp>
    <xdr:clientData/>
  </xdr:oneCellAnchor>
  <xdr:oneCellAnchor>
    <xdr:from>
      <xdr:col>20</xdr:col>
      <xdr:colOff>85725</xdr:colOff>
      <xdr:row>317</xdr:row>
      <xdr:rowOff>0</xdr:rowOff>
    </xdr:from>
    <xdr:ext cx="104775" cy="224897"/>
    <xdr:sp macro="" textlink="">
      <xdr:nvSpPr>
        <xdr:cNvPr id="192" name="Text Box 25">
          <a:extLst>
            <a:ext uri="{FF2B5EF4-FFF2-40B4-BE49-F238E27FC236}">
              <a16:creationId xmlns:a16="http://schemas.microsoft.com/office/drawing/2014/main" id="{B26CDA76-A848-49BC-84A3-F114AC2B0C84}"/>
            </a:ext>
          </a:extLst>
        </xdr:cNvPr>
        <xdr:cNvSpPr txBox="1">
          <a:spLocks noChangeArrowheads="1"/>
        </xdr:cNvSpPr>
      </xdr:nvSpPr>
      <xdr:spPr bwMode="auto">
        <a:xfrm>
          <a:off x="11896725" y="93545025"/>
          <a:ext cx="104775" cy="224897"/>
        </a:xfrm>
        <a:prstGeom prst="rect">
          <a:avLst/>
        </a:prstGeom>
        <a:noFill/>
        <a:ln w="9525">
          <a:noFill/>
          <a:miter lim="800000"/>
          <a:headEnd/>
          <a:tailEnd/>
        </a:ln>
      </xdr:spPr>
    </xdr:sp>
    <xdr:clientData/>
  </xdr:oneCellAnchor>
  <xdr:oneCellAnchor>
    <xdr:from>
      <xdr:col>20</xdr:col>
      <xdr:colOff>85725</xdr:colOff>
      <xdr:row>317</xdr:row>
      <xdr:rowOff>0</xdr:rowOff>
    </xdr:from>
    <xdr:ext cx="104775" cy="224897"/>
    <xdr:sp macro="" textlink="">
      <xdr:nvSpPr>
        <xdr:cNvPr id="193" name="Text Box 37">
          <a:extLst>
            <a:ext uri="{FF2B5EF4-FFF2-40B4-BE49-F238E27FC236}">
              <a16:creationId xmlns:a16="http://schemas.microsoft.com/office/drawing/2014/main" id="{0397C1E5-3FDF-410B-8608-C348931F39BE}"/>
            </a:ext>
          </a:extLst>
        </xdr:cNvPr>
        <xdr:cNvSpPr txBox="1">
          <a:spLocks noChangeArrowheads="1"/>
        </xdr:cNvSpPr>
      </xdr:nvSpPr>
      <xdr:spPr bwMode="auto">
        <a:xfrm>
          <a:off x="11896725" y="93545025"/>
          <a:ext cx="104775" cy="224897"/>
        </a:xfrm>
        <a:prstGeom prst="rect">
          <a:avLst/>
        </a:prstGeom>
        <a:noFill/>
        <a:ln w="9525">
          <a:noFill/>
          <a:miter lim="800000"/>
          <a:headEnd/>
          <a:tailEnd/>
        </a:ln>
      </xdr:spPr>
    </xdr:sp>
    <xdr:clientData/>
  </xdr:oneCellAnchor>
  <xdr:oneCellAnchor>
    <xdr:from>
      <xdr:col>20</xdr:col>
      <xdr:colOff>85725</xdr:colOff>
      <xdr:row>317</xdr:row>
      <xdr:rowOff>0</xdr:rowOff>
    </xdr:from>
    <xdr:ext cx="104775" cy="224897"/>
    <xdr:sp macro="" textlink="">
      <xdr:nvSpPr>
        <xdr:cNvPr id="194" name="Text Box 38">
          <a:extLst>
            <a:ext uri="{FF2B5EF4-FFF2-40B4-BE49-F238E27FC236}">
              <a16:creationId xmlns:a16="http://schemas.microsoft.com/office/drawing/2014/main" id="{4F3D1291-C109-4057-B242-EDABE038D40D}"/>
            </a:ext>
          </a:extLst>
        </xdr:cNvPr>
        <xdr:cNvSpPr txBox="1">
          <a:spLocks noChangeArrowheads="1"/>
        </xdr:cNvSpPr>
      </xdr:nvSpPr>
      <xdr:spPr bwMode="auto">
        <a:xfrm>
          <a:off x="11896725" y="93545025"/>
          <a:ext cx="104775" cy="224897"/>
        </a:xfrm>
        <a:prstGeom prst="rect">
          <a:avLst/>
        </a:prstGeom>
        <a:noFill/>
        <a:ln w="9525">
          <a:noFill/>
          <a:miter lim="800000"/>
          <a:headEnd/>
          <a:tailEnd/>
        </a:ln>
      </xdr:spPr>
    </xdr:sp>
    <xdr:clientData/>
  </xdr:oneCellAnchor>
  <xdr:oneCellAnchor>
    <xdr:from>
      <xdr:col>20</xdr:col>
      <xdr:colOff>85725</xdr:colOff>
      <xdr:row>317</xdr:row>
      <xdr:rowOff>0</xdr:rowOff>
    </xdr:from>
    <xdr:ext cx="104775" cy="224897"/>
    <xdr:sp macro="" textlink="">
      <xdr:nvSpPr>
        <xdr:cNvPr id="195" name="Text Box 39">
          <a:extLst>
            <a:ext uri="{FF2B5EF4-FFF2-40B4-BE49-F238E27FC236}">
              <a16:creationId xmlns:a16="http://schemas.microsoft.com/office/drawing/2014/main" id="{73DF7A8F-FD5E-442F-9166-976E849A5152}"/>
            </a:ext>
          </a:extLst>
        </xdr:cNvPr>
        <xdr:cNvSpPr txBox="1">
          <a:spLocks noChangeArrowheads="1"/>
        </xdr:cNvSpPr>
      </xdr:nvSpPr>
      <xdr:spPr bwMode="auto">
        <a:xfrm>
          <a:off x="11896725" y="93545025"/>
          <a:ext cx="104775" cy="224897"/>
        </a:xfrm>
        <a:prstGeom prst="rect">
          <a:avLst/>
        </a:prstGeom>
        <a:noFill/>
        <a:ln w="9525">
          <a:noFill/>
          <a:miter lim="800000"/>
          <a:headEnd/>
          <a:tailEnd/>
        </a:ln>
      </xdr:spPr>
    </xdr:sp>
    <xdr:clientData/>
  </xdr:oneCellAnchor>
  <xdr:oneCellAnchor>
    <xdr:from>
      <xdr:col>20</xdr:col>
      <xdr:colOff>85725</xdr:colOff>
      <xdr:row>317</xdr:row>
      <xdr:rowOff>0</xdr:rowOff>
    </xdr:from>
    <xdr:ext cx="104775" cy="224897"/>
    <xdr:sp macro="" textlink="">
      <xdr:nvSpPr>
        <xdr:cNvPr id="196" name="Text Box 40">
          <a:extLst>
            <a:ext uri="{FF2B5EF4-FFF2-40B4-BE49-F238E27FC236}">
              <a16:creationId xmlns:a16="http://schemas.microsoft.com/office/drawing/2014/main" id="{A682ADEF-52FE-4E98-86F5-DE441500B309}"/>
            </a:ext>
          </a:extLst>
        </xdr:cNvPr>
        <xdr:cNvSpPr txBox="1">
          <a:spLocks noChangeArrowheads="1"/>
        </xdr:cNvSpPr>
      </xdr:nvSpPr>
      <xdr:spPr bwMode="auto">
        <a:xfrm>
          <a:off x="11896725" y="93545025"/>
          <a:ext cx="104775" cy="224897"/>
        </a:xfrm>
        <a:prstGeom prst="rect">
          <a:avLst/>
        </a:prstGeom>
        <a:noFill/>
        <a:ln w="9525">
          <a:noFill/>
          <a:miter lim="800000"/>
          <a:headEnd/>
          <a:tailEnd/>
        </a:ln>
      </xdr:spPr>
    </xdr:sp>
    <xdr:clientData/>
  </xdr:oneCellAnchor>
  <xdr:oneCellAnchor>
    <xdr:from>
      <xdr:col>16</xdr:col>
      <xdr:colOff>85725</xdr:colOff>
      <xdr:row>312</xdr:row>
      <xdr:rowOff>0</xdr:rowOff>
    </xdr:from>
    <xdr:ext cx="104775" cy="224895"/>
    <xdr:sp macro="" textlink="">
      <xdr:nvSpPr>
        <xdr:cNvPr id="197" name="Text Box 90">
          <a:extLst>
            <a:ext uri="{FF2B5EF4-FFF2-40B4-BE49-F238E27FC236}">
              <a16:creationId xmlns:a16="http://schemas.microsoft.com/office/drawing/2014/main" id="{F4739257-3F5F-41D8-940E-F7C64A63E94F}"/>
            </a:ext>
          </a:extLst>
        </xdr:cNvPr>
        <xdr:cNvSpPr txBox="1">
          <a:spLocks noChangeArrowheads="1"/>
        </xdr:cNvSpPr>
      </xdr:nvSpPr>
      <xdr:spPr bwMode="auto">
        <a:xfrm>
          <a:off x="8839200" y="92497275"/>
          <a:ext cx="104775" cy="224895"/>
        </a:xfrm>
        <a:prstGeom prst="rect">
          <a:avLst/>
        </a:prstGeom>
        <a:noFill/>
        <a:ln w="9525">
          <a:noFill/>
          <a:miter lim="800000"/>
          <a:headEnd/>
          <a:tailEnd/>
        </a:ln>
      </xdr:spPr>
    </xdr:sp>
    <xdr:clientData/>
  </xdr:oneCellAnchor>
  <xdr:oneCellAnchor>
    <xdr:from>
      <xdr:col>16</xdr:col>
      <xdr:colOff>85725</xdr:colOff>
      <xdr:row>312</xdr:row>
      <xdr:rowOff>0</xdr:rowOff>
    </xdr:from>
    <xdr:ext cx="104775" cy="224895"/>
    <xdr:sp macro="" textlink="">
      <xdr:nvSpPr>
        <xdr:cNvPr id="198" name="Text Box 91">
          <a:extLst>
            <a:ext uri="{FF2B5EF4-FFF2-40B4-BE49-F238E27FC236}">
              <a16:creationId xmlns:a16="http://schemas.microsoft.com/office/drawing/2014/main" id="{A0C4A6D1-34CF-4099-99C2-D6187CF98DA9}"/>
            </a:ext>
          </a:extLst>
        </xdr:cNvPr>
        <xdr:cNvSpPr txBox="1">
          <a:spLocks noChangeArrowheads="1"/>
        </xdr:cNvSpPr>
      </xdr:nvSpPr>
      <xdr:spPr bwMode="auto">
        <a:xfrm>
          <a:off x="8839200" y="92497275"/>
          <a:ext cx="104775" cy="224895"/>
        </a:xfrm>
        <a:prstGeom prst="rect">
          <a:avLst/>
        </a:prstGeom>
        <a:noFill/>
        <a:ln w="9525">
          <a:noFill/>
          <a:miter lim="800000"/>
          <a:headEnd/>
          <a:tailEnd/>
        </a:ln>
      </xdr:spPr>
    </xdr:sp>
    <xdr:clientData/>
  </xdr:oneCellAnchor>
  <xdr:oneCellAnchor>
    <xdr:from>
      <xdr:col>16</xdr:col>
      <xdr:colOff>85725</xdr:colOff>
      <xdr:row>312</xdr:row>
      <xdr:rowOff>0</xdr:rowOff>
    </xdr:from>
    <xdr:ext cx="104775" cy="224895"/>
    <xdr:sp macro="" textlink="">
      <xdr:nvSpPr>
        <xdr:cNvPr id="199" name="Text Box 92">
          <a:extLst>
            <a:ext uri="{FF2B5EF4-FFF2-40B4-BE49-F238E27FC236}">
              <a16:creationId xmlns:a16="http://schemas.microsoft.com/office/drawing/2014/main" id="{FA483CD6-ABCA-4680-9C20-A36DC000320D}"/>
            </a:ext>
          </a:extLst>
        </xdr:cNvPr>
        <xdr:cNvSpPr txBox="1">
          <a:spLocks noChangeArrowheads="1"/>
        </xdr:cNvSpPr>
      </xdr:nvSpPr>
      <xdr:spPr bwMode="auto">
        <a:xfrm>
          <a:off x="8839200" y="92497275"/>
          <a:ext cx="104775" cy="224895"/>
        </a:xfrm>
        <a:prstGeom prst="rect">
          <a:avLst/>
        </a:prstGeom>
        <a:noFill/>
        <a:ln w="9525">
          <a:noFill/>
          <a:miter lim="800000"/>
          <a:headEnd/>
          <a:tailEnd/>
        </a:ln>
      </xdr:spPr>
    </xdr:sp>
    <xdr:clientData/>
  </xdr:oneCellAnchor>
  <xdr:oneCellAnchor>
    <xdr:from>
      <xdr:col>16</xdr:col>
      <xdr:colOff>85725</xdr:colOff>
      <xdr:row>312</xdr:row>
      <xdr:rowOff>0</xdr:rowOff>
    </xdr:from>
    <xdr:ext cx="104775" cy="224895"/>
    <xdr:sp macro="" textlink="">
      <xdr:nvSpPr>
        <xdr:cNvPr id="200" name="Text Box 93">
          <a:extLst>
            <a:ext uri="{FF2B5EF4-FFF2-40B4-BE49-F238E27FC236}">
              <a16:creationId xmlns:a16="http://schemas.microsoft.com/office/drawing/2014/main" id="{471EE76E-3E5C-4D9A-90FB-14B937DD45EC}"/>
            </a:ext>
          </a:extLst>
        </xdr:cNvPr>
        <xdr:cNvSpPr txBox="1">
          <a:spLocks noChangeArrowheads="1"/>
        </xdr:cNvSpPr>
      </xdr:nvSpPr>
      <xdr:spPr bwMode="auto">
        <a:xfrm>
          <a:off x="8839200" y="92497275"/>
          <a:ext cx="104775" cy="224895"/>
        </a:xfrm>
        <a:prstGeom prst="rect">
          <a:avLst/>
        </a:prstGeom>
        <a:noFill/>
        <a:ln w="9525">
          <a:noFill/>
          <a:miter lim="800000"/>
          <a:headEnd/>
          <a:tailEnd/>
        </a:ln>
      </xdr:spPr>
    </xdr:sp>
    <xdr:clientData/>
  </xdr:oneCellAnchor>
  <xdr:oneCellAnchor>
    <xdr:from>
      <xdr:col>16</xdr:col>
      <xdr:colOff>85725</xdr:colOff>
      <xdr:row>312</xdr:row>
      <xdr:rowOff>0</xdr:rowOff>
    </xdr:from>
    <xdr:ext cx="104775" cy="224895"/>
    <xdr:sp macro="" textlink="">
      <xdr:nvSpPr>
        <xdr:cNvPr id="201" name="Text Box 94">
          <a:extLst>
            <a:ext uri="{FF2B5EF4-FFF2-40B4-BE49-F238E27FC236}">
              <a16:creationId xmlns:a16="http://schemas.microsoft.com/office/drawing/2014/main" id="{FACF620C-840E-40E5-A236-5614C180973C}"/>
            </a:ext>
          </a:extLst>
        </xdr:cNvPr>
        <xdr:cNvSpPr txBox="1">
          <a:spLocks noChangeArrowheads="1"/>
        </xdr:cNvSpPr>
      </xdr:nvSpPr>
      <xdr:spPr bwMode="auto">
        <a:xfrm>
          <a:off x="8839200" y="92497275"/>
          <a:ext cx="104775" cy="224895"/>
        </a:xfrm>
        <a:prstGeom prst="rect">
          <a:avLst/>
        </a:prstGeom>
        <a:noFill/>
        <a:ln w="9525">
          <a:noFill/>
          <a:miter lim="800000"/>
          <a:headEnd/>
          <a:tailEnd/>
        </a:ln>
      </xdr:spPr>
    </xdr:sp>
    <xdr:clientData/>
  </xdr:oneCellAnchor>
  <xdr:oneCellAnchor>
    <xdr:from>
      <xdr:col>16</xdr:col>
      <xdr:colOff>85725</xdr:colOff>
      <xdr:row>312</xdr:row>
      <xdr:rowOff>0</xdr:rowOff>
    </xdr:from>
    <xdr:ext cx="104775" cy="224895"/>
    <xdr:sp macro="" textlink="">
      <xdr:nvSpPr>
        <xdr:cNvPr id="202" name="Text Box 95">
          <a:extLst>
            <a:ext uri="{FF2B5EF4-FFF2-40B4-BE49-F238E27FC236}">
              <a16:creationId xmlns:a16="http://schemas.microsoft.com/office/drawing/2014/main" id="{C692CE5A-E7B4-48AC-AC20-B688A8F75728}"/>
            </a:ext>
          </a:extLst>
        </xdr:cNvPr>
        <xdr:cNvSpPr txBox="1">
          <a:spLocks noChangeArrowheads="1"/>
        </xdr:cNvSpPr>
      </xdr:nvSpPr>
      <xdr:spPr bwMode="auto">
        <a:xfrm>
          <a:off x="8839200" y="92497275"/>
          <a:ext cx="104775" cy="224895"/>
        </a:xfrm>
        <a:prstGeom prst="rect">
          <a:avLst/>
        </a:prstGeom>
        <a:noFill/>
        <a:ln w="9525">
          <a:noFill/>
          <a:miter lim="800000"/>
          <a:headEnd/>
          <a:tailEnd/>
        </a:ln>
      </xdr:spPr>
    </xdr:sp>
    <xdr:clientData/>
  </xdr:oneCellAnchor>
  <xdr:oneCellAnchor>
    <xdr:from>
      <xdr:col>16</xdr:col>
      <xdr:colOff>85725</xdr:colOff>
      <xdr:row>312</xdr:row>
      <xdr:rowOff>0</xdr:rowOff>
    </xdr:from>
    <xdr:ext cx="104775" cy="224895"/>
    <xdr:sp macro="" textlink="">
      <xdr:nvSpPr>
        <xdr:cNvPr id="203" name="Text Box 96">
          <a:extLst>
            <a:ext uri="{FF2B5EF4-FFF2-40B4-BE49-F238E27FC236}">
              <a16:creationId xmlns:a16="http://schemas.microsoft.com/office/drawing/2014/main" id="{05828DD4-D052-4274-87C3-EB26E238DAC7}"/>
            </a:ext>
          </a:extLst>
        </xdr:cNvPr>
        <xdr:cNvSpPr txBox="1">
          <a:spLocks noChangeArrowheads="1"/>
        </xdr:cNvSpPr>
      </xdr:nvSpPr>
      <xdr:spPr bwMode="auto">
        <a:xfrm>
          <a:off x="8839200" y="92497275"/>
          <a:ext cx="104775" cy="224895"/>
        </a:xfrm>
        <a:prstGeom prst="rect">
          <a:avLst/>
        </a:prstGeom>
        <a:noFill/>
        <a:ln w="9525">
          <a:noFill/>
          <a:miter lim="800000"/>
          <a:headEnd/>
          <a:tailEnd/>
        </a:ln>
      </xdr:spPr>
    </xdr:sp>
    <xdr:clientData/>
  </xdr:oneCellAnchor>
  <xdr:oneCellAnchor>
    <xdr:from>
      <xdr:col>16</xdr:col>
      <xdr:colOff>85725</xdr:colOff>
      <xdr:row>312</xdr:row>
      <xdr:rowOff>0</xdr:rowOff>
    </xdr:from>
    <xdr:ext cx="104775" cy="224895"/>
    <xdr:sp macro="" textlink="">
      <xdr:nvSpPr>
        <xdr:cNvPr id="204" name="Text Box 97">
          <a:extLst>
            <a:ext uri="{FF2B5EF4-FFF2-40B4-BE49-F238E27FC236}">
              <a16:creationId xmlns:a16="http://schemas.microsoft.com/office/drawing/2014/main" id="{6D6993E4-044E-4997-8F40-2D4C9FA81345}"/>
            </a:ext>
          </a:extLst>
        </xdr:cNvPr>
        <xdr:cNvSpPr txBox="1">
          <a:spLocks noChangeArrowheads="1"/>
        </xdr:cNvSpPr>
      </xdr:nvSpPr>
      <xdr:spPr bwMode="auto">
        <a:xfrm>
          <a:off x="8839200" y="92497275"/>
          <a:ext cx="104775" cy="224895"/>
        </a:xfrm>
        <a:prstGeom prst="rect">
          <a:avLst/>
        </a:prstGeom>
        <a:noFill/>
        <a:ln w="9525">
          <a:noFill/>
          <a:miter lim="800000"/>
          <a:headEnd/>
          <a:tailEnd/>
        </a:ln>
      </xdr:spPr>
    </xdr:sp>
    <xdr:clientData/>
  </xdr:oneCellAnchor>
  <xdr:oneCellAnchor>
    <xdr:from>
      <xdr:col>16</xdr:col>
      <xdr:colOff>85725</xdr:colOff>
      <xdr:row>312</xdr:row>
      <xdr:rowOff>0</xdr:rowOff>
    </xdr:from>
    <xdr:ext cx="104775" cy="224895"/>
    <xdr:sp macro="" textlink="">
      <xdr:nvSpPr>
        <xdr:cNvPr id="205" name="Text Box 98">
          <a:extLst>
            <a:ext uri="{FF2B5EF4-FFF2-40B4-BE49-F238E27FC236}">
              <a16:creationId xmlns:a16="http://schemas.microsoft.com/office/drawing/2014/main" id="{A9AEECAB-CAC6-4C35-8598-17E71007FD9D}"/>
            </a:ext>
          </a:extLst>
        </xdr:cNvPr>
        <xdr:cNvSpPr txBox="1">
          <a:spLocks noChangeArrowheads="1"/>
        </xdr:cNvSpPr>
      </xdr:nvSpPr>
      <xdr:spPr bwMode="auto">
        <a:xfrm>
          <a:off x="8839200" y="92497275"/>
          <a:ext cx="104775" cy="224895"/>
        </a:xfrm>
        <a:prstGeom prst="rect">
          <a:avLst/>
        </a:prstGeom>
        <a:noFill/>
        <a:ln w="9525">
          <a:noFill/>
          <a:miter lim="800000"/>
          <a:headEnd/>
          <a:tailEnd/>
        </a:ln>
      </xdr:spPr>
    </xdr:sp>
    <xdr:clientData/>
  </xdr:oneCellAnchor>
  <xdr:oneCellAnchor>
    <xdr:from>
      <xdr:col>16</xdr:col>
      <xdr:colOff>85725</xdr:colOff>
      <xdr:row>312</xdr:row>
      <xdr:rowOff>0</xdr:rowOff>
    </xdr:from>
    <xdr:ext cx="104775" cy="224895"/>
    <xdr:sp macro="" textlink="">
      <xdr:nvSpPr>
        <xdr:cNvPr id="206" name="Text Box 99">
          <a:extLst>
            <a:ext uri="{FF2B5EF4-FFF2-40B4-BE49-F238E27FC236}">
              <a16:creationId xmlns:a16="http://schemas.microsoft.com/office/drawing/2014/main" id="{4772D444-809A-4718-8AFD-E718007E9FF1}"/>
            </a:ext>
          </a:extLst>
        </xdr:cNvPr>
        <xdr:cNvSpPr txBox="1">
          <a:spLocks noChangeArrowheads="1"/>
        </xdr:cNvSpPr>
      </xdr:nvSpPr>
      <xdr:spPr bwMode="auto">
        <a:xfrm>
          <a:off x="8839200" y="92497275"/>
          <a:ext cx="104775" cy="224895"/>
        </a:xfrm>
        <a:prstGeom prst="rect">
          <a:avLst/>
        </a:prstGeom>
        <a:noFill/>
        <a:ln w="9525">
          <a:noFill/>
          <a:miter lim="800000"/>
          <a:headEnd/>
          <a:tailEnd/>
        </a:ln>
      </xdr:spPr>
    </xdr:sp>
    <xdr:clientData/>
  </xdr:oneCellAnchor>
  <xdr:oneCellAnchor>
    <xdr:from>
      <xdr:col>19</xdr:col>
      <xdr:colOff>85725</xdr:colOff>
      <xdr:row>312</xdr:row>
      <xdr:rowOff>0</xdr:rowOff>
    </xdr:from>
    <xdr:ext cx="104775" cy="224895"/>
    <xdr:sp macro="" textlink="">
      <xdr:nvSpPr>
        <xdr:cNvPr id="207" name="Text Box 90">
          <a:extLst>
            <a:ext uri="{FF2B5EF4-FFF2-40B4-BE49-F238E27FC236}">
              <a16:creationId xmlns:a16="http://schemas.microsoft.com/office/drawing/2014/main" id="{A0900825-77B2-4120-8B51-A3739B1F4582}"/>
            </a:ext>
          </a:extLst>
        </xdr:cNvPr>
        <xdr:cNvSpPr txBox="1">
          <a:spLocks noChangeArrowheads="1"/>
        </xdr:cNvSpPr>
      </xdr:nvSpPr>
      <xdr:spPr bwMode="auto">
        <a:xfrm>
          <a:off x="11249025" y="92497275"/>
          <a:ext cx="104775" cy="224895"/>
        </a:xfrm>
        <a:prstGeom prst="rect">
          <a:avLst/>
        </a:prstGeom>
        <a:noFill/>
        <a:ln w="9525">
          <a:noFill/>
          <a:miter lim="800000"/>
          <a:headEnd/>
          <a:tailEnd/>
        </a:ln>
      </xdr:spPr>
    </xdr:sp>
    <xdr:clientData/>
  </xdr:oneCellAnchor>
  <xdr:oneCellAnchor>
    <xdr:from>
      <xdr:col>19</xdr:col>
      <xdr:colOff>85725</xdr:colOff>
      <xdr:row>312</xdr:row>
      <xdr:rowOff>0</xdr:rowOff>
    </xdr:from>
    <xdr:ext cx="104775" cy="224895"/>
    <xdr:sp macro="" textlink="">
      <xdr:nvSpPr>
        <xdr:cNvPr id="208" name="Text Box 91">
          <a:extLst>
            <a:ext uri="{FF2B5EF4-FFF2-40B4-BE49-F238E27FC236}">
              <a16:creationId xmlns:a16="http://schemas.microsoft.com/office/drawing/2014/main" id="{86F95FD6-8661-4709-9963-26D3CFF4618E}"/>
            </a:ext>
          </a:extLst>
        </xdr:cNvPr>
        <xdr:cNvSpPr txBox="1">
          <a:spLocks noChangeArrowheads="1"/>
        </xdr:cNvSpPr>
      </xdr:nvSpPr>
      <xdr:spPr bwMode="auto">
        <a:xfrm>
          <a:off x="11249025" y="92497275"/>
          <a:ext cx="104775" cy="224895"/>
        </a:xfrm>
        <a:prstGeom prst="rect">
          <a:avLst/>
        </a:prstGeom>
        <a:noFill/>
        <a:ln w="9525">
          <a:noFill/>
          <a:miter lim="800000"/>
          <a:headEnd/>
          <a:tailEnd/>
        </a:ln>
      </xdr:spPr>
    </xdr:sp>
    <xdr:clientData/>
  </xdr:oneCellAnchor>
  <xdr:oneCellAnchor>
    <xdr:from>
      <xdr:col>19</xdr:col>
      <xdr:colOff>85725</xdr:colOff>
      <xdr:row>312</xdr:row>
      <xdr:rowOff>0</xdr:rowOff>
    </xdr:from>
    <xdr:ext cx="104775" cy="224895"/>
    <xdr:sp macro="" textlink="">
      <xdr:nvSpPr>
        <xdr:cNvPr id="209" name="Text Box 92">
          <a:extLst>
            <a:ext uri="{FF2B5EF4-FFF2-40B4-BE49-F238E27FC236}">
              <a16:creationId xmlns:a16="http://schemas.microsoft.com/office/drawing/2014/main" id="{7B5AA980-B4F9-4751-9FC4-6D0DC96EC618}"/>
            </a:ext>
          </a:extLst>
        </xdr:cNvPr>
        <xdr:cNvSpPr txBox="1">
          <a:spLocks noChangeArrowheads="1"/>
        </xdr:cNvSpPr>
      </xdr:nvSpPr>
      <xdr:spPr bwMode="auto">
        <a:xfrm>
          <a:off x="11249025" y="92497275"/>
          <a:ext cx="104775" cy="224895"/>
        </a:xfrm>
        <a:prstGeom prst="rect">
          <a:avLst/>
        </a:prstGeom>
        <a:noFill/>
        <a:ln w="9525">
          <a:noFill/>
          <a:miter lim="800000"/>
          <a:headEnd/>
          <a:tailEnd/>
        </a:ln>
      </xdr:spPr>
    </xdr:sp>
    <xdr:clientData/>
  </xdr:oneCellAnchor>
  <xdr:oneCellAnchor>
    <xdr:from>
      <xdr:col>19</xdr:col>
      <xdr:colOff>85725</xdr:colOff>
      <xdr:row>312</xdr:row>
      <xdr:rowOff>0</xdr:rowOff>
    </xdr:from>
    <xdr:ext cx="104775" cy="224895"/>
    <xdr:sp macro="" textlink="">
      <xdr:nvSpPr>
        <xdr:cNvPr id="210" name="Text Box 93">
          <a:extLst>
            <a:ext uri="{FF2B5EF4-FFF2-40B4-BE49-F238E27FC236}">
              <a16:creationId xmlns:a16="http://schemas.microsoft.com/office/drawing/2014/main" id="{9E49BE37-B550-4F7D-9CBE-B128962B133D}"/>
            </a:ext>
          </a:extLst>
        </xdr:cNvPr>
        <xdr:cNvSpPr txBox="1">
          <a:spLocks noChangeArrowheads="1"/>
        </xdr:cNvSpPr>
      </xdr:nvSpPr>
      <xdr:spPr bwMode="auto">
        <a:xfrm>
          <a:off x="11249025" y="92497275"/>
          <a:ext cx="104775" cy="224895"/>
        </a:xfrm>
        <a:prstGeom prst="rect">
          <a:avLst/>
        </a:prstGeom>
        <a:noFill/>
        <a:ln w="9525">
          <a:noFill/>
          <a:miter lim="800000"/>
          <a:headEnd/>
          <a:tailEnd/>
        </a:ln>
      </xdr:spPr>
    </xdr:sp>
    <xdr:clientData/>
  </xdr:oneCellAnchor>
  <xdr:oneCellAnchor>
    <xdr:from>
      <xdr:col>19</xdr:col>
      <xdr:colOff>85725</xdr:colOff>
      <xdr:row>312</xdr:row>
      <xdr:rowOff>0</xdr:rowOff>
    </xdr:from>
    <xdr:ext cx="104775" cy="224895"/>
    <xdr:sp macro="" textlink="">
      <xdr:nvSpPr>
        <xdr:cNvPr id="211" name="Text Box 94">
          <a:extLst>
            <a:ext uri="{FF2B5EF4-FFF2-40B4-BE49-F238E27FC236}">
              <a16:creationId xmlns:a16="http://schemas.microsoft.com/office/drawing/2014/main" id="{92817BFB-F88F-41A4-A49D-528D375642DF}"/>
            </a:ext>
          </a:extLst>
        </xdr:cNvPr>
        <xdr:cNvSpPr txBox="1">
          <a:spLocks noChangeArrowheads="1"/>
        </xdr:cNvSpPr>
      </xdr:nvSpPr>
      <xdr:spPr bwMode="auto">
        <a:xfrm>
          <a:off x="11249025" y="92497275"/>
          <a:ext cx="104775" cy="224895"/>
        </a:xfrm>
        <a:prstGeom prst="rect">
          <a:avLst/>
        </a:prstGeom>
        <a:noFill/>
        <a:ln w="9525">
          <a:noFill/>
          <a:miter lim="800000"/>
          <a:headEnd/>
          <a:tailEnd/>
        </a:ln>
      </xdr:spPr>
    </xdr:sp>
    <xdr:clientData/>
  </xdr:oneCellAnchor>
  <xdr:oneCellAnchor>
    <xdr:from>
      <xdr:col>19</xdr:col>
      <xdr:colOff>85725</xdr:colOff>
      <xdr:row>312</xdr:row>
      <xdr:rowOff>0</xdr:rowOff>
    </xdr:from>
    <xdr:ext cx="104775" cy="224895"/>
    <xdr:sp macro="" textlink="">
      <xdr:nvSpPr>
        <xdr:cNvPr id="212" name="Text Box 95">
          <a:extLst>
            <a:ext uri="{FF2B5EF4-FFF2-40B4-BE49-F238E27FC236}">
              <a16:creationId xmlns:a16="http://schemas.microsoft.com/office/drawing/2014/main" id="{5CD95CE7-2254-4CC2-A666-C0DC7DCDFA40}"/>
            </a:ext>
          </a:extLst>
        </xdr:cNvPr>
        <xdr:cNvSpPr txBox="1">
          <a:spLocks noChangeArrowheads="1"/>
        </xdr:cNvSpPr>
      </xdr:nvSpPr>
      <xdr:spPr bwMode="auto">
        <a:xfrm>
          <a:off x="11249025" y="92497275"/>
          <a:ext cx="104775" cy="224895"/>
        </a:xfrm>
        <a:prstGeom prst="rect">
          <a:avLst/>
        </a:prstGeom>
        <a:noFill/>
        <a:ln w="9525">
          <a:noFill/>
          <a:miter lim="800000"/>
          <a:headEnd/>
          <a:tailEnd/>
        </a:ln>
      </xdr:spPr>
    </xdr:sp>
    <xdr:clientData/>
  </xdr:oneCellAnchor>
  <xdr:oneCellAnchor>
    <xdr:from>
      <xdr:col>19</xdr:col>
      <xdr:colOff>85725</xdr:colOff>
      <xdr:row>312</xdr:row>
      <xdr:rowOff>0</xdr:rowOff>
    </xdr:from>
    <xdr:ext cx="104775" cy="224895"/>
    <xdr:sp macro="" textlink="">
      <xdr:nvSpPr>
        <xdr:cNvPr id="213" name="Text Box 96">
          <a:extLst>
            <a:ext uri="{FF2B5EF4-FFF2-40B4-BE49-F238E27FC236}">
              <a16:creationId xmlns:a16="http://schemas.microsoft.com/office/drawing/2014/main" id="{826CD749-792D-4BCA-ACC2-53FCE3C37DFC}"/>
            </a:ext>
          </a:extLst>
        </xdr:cNvPr>
        <xdr:cNvSpPr txBox="1">
          <a:spLocks noChangeArrowheads="1"/>
        </xdr:cNvSpPr>
      </xdr:nvSpPr>
      <xdr:spPr bwMode="auto">
        <a:xfrm>
          <a:off x="11249025" y="92497275"/>
          <a:ext cx="104775" cy="224895"/>
        </a:xfrm>
        <a:prstGeom prst="rect">
          <a:avLst/>
        </a:prstGeom>
        <a:noFill/>
        <a:ln w="9525">
          <a:noFill/>
          <a:miter lim="800000"/>
          <a:headEnd/>
          <a:tailEnd/>
        </a:ln>
      </xdr:spPr>
    </xdr:sp>
    <xdr:clientData/>
  </xdr:oneCellAnchor>
  <xdr:oneCellAnchor>
    <xdr:from>
      <xdr:col>19</xdr:col>
      <xdr:colOff>85725</xdr:colOff>
      <xdr:row>312</xdr:row>
      <xdr:rowOff>0</xdr:rowOff>
    </xdr:from>
    <xdr:ext cx="104775" cy="224895"/>
    <xdr:sp macro="" textlink="">
      <xdr:nvSpPr>
        <xdr:cNvPr id="214" name="Text Box 97">
          <a:extLst>
            <a:ext uri="{FF2B5EF4-FFF2-40B4-BE49-F238E27FC236}">
              <a16:creationId xmlns:a16="http://schemas.microsoft.com/office/drawing/2014/main" id="{43BC6AA9-9D95-4D89-BE86-09C313FE9A7B}"/>
            </a:ext>
          </a:extLst>
        </xdr:cNvPr>
        <xdr:cNvSpPr txBox="1">
          <a:spLocks noChangeArrowheads="1"/>
        </xdr:cNvSpPr>
      </xdr:nvSpPr>
      <xdr:spPr bwMode="auto">
        <a:xfrm>
          <a:off x="11249025" y="92497275"/>
          <a:ext cx="104775" cy="224895"/>
        </a:xfrm>
        <a:prstGeom prst="rect">
          <a:avLst/>
        </a:prstGeom>
        <a:noFill/>
        <a:ln w="9525">
          <a:noFill/>
          <a:miter lim="800000"/>
          <a:headEnd/>
          <a:tailEnd/>
        </a:ln>
      </xdr:spPr>
    </xdr:sp>
    <xdr:clientData/>
  </xdr:oneCellAnchor>
  <xdr:oneCellAnchor>
    <xdr:from>
      <xdr:col>19</xdr:col>
      <xdr:colOff>85725</xdr:colOff>
      <xdr:row>312</xdr:row>
      <xdr:rowOff>0</xdr:rowOff>
    </xdr:from>
    <xdr:ext cx="104775" cy="224895"/>
    <xdr:sp macro="" textlink="">
      <xdr:nvSpPr>
        <xdr:cNvPr id="215" name="Text Box 98">
          <a:extLst>
            <a:ext uri="{FF2B5EF4-FFF2-40B4-BE49-F238E27FC236}">
              <a16:creationId xmlns:a16="http://schemas.microsoft.com/office/drawing/2014/main" id="{BD60E2F5-BB37-4D6E-AFBC-9D8059A190E0}"/>
            </a:ext>
          </a:extLst>
        </xdr:cNvPr>
        <xdr:cNvSpPr txBox="1">
          <a:spLocks noChangeArrowheads="1"/>
        </xdr:cNvSpPr>
      </xdr:nvSpPr>
      <xdr:spPr bwMode="auto">
        <a:xfrm>
          <a:off x="11249025" y="92497275"/>
          <a:ext cx="104775" cy="224895"/>
        </a:xfrm>
        <a:prstGeom prst="rect">
          <a:avLst/>
        </a:prstGeom>
        <a:noFill/>
        <a:ln w="9525">
          <a:noFill/>
          <a:miter lim="800000"/>
          <a:headEnd/>
          <a:tailEnd/>
        </a:ln>
      </xdr:spPr>
    </xdr:sp>
    <xdr:clientData/>
  </xdr:oneCellAnchor>
  <xdr:oneCellAnchor>
    <xdr:from>
      <xdr:col>19</xdr:col>
      <xdr:colOff>85725</xdr:colOff>
      <xdr:row>312</xdr:row>
      <xdr:rowOff>0</xdr:rowOff>
    </xdr:from>
    <xdr:ext cx="104775" cy="224895"/>
    <xdr:sp macro="" textlink="">
      <xdr:nvSpPr>
        <xdr:cNvPr id="216" name="Text Box 99">
          <a:extLst>
            <a:ext uri="{FF2B5EF4-FFF2-40B4-BE49-F238E27FC236}">
              <a16:creationId xmlns:a16="http://schemas.microsoft.com/office/drawing/2014/main" id="{EAE2E3F1-129D-41FF-96ED-F106F7EE3739}"/>
            </a:ext>
          </a:extLst>
        </xdr:cNvPr>
        <xdr:cNvSpPr txBox="1">
          <a:spLocks noChangeArrowheads="1"/>
        </xdr:cNvSpPr>
      </xdr:nvSpPr>
      <xdr:spPr bwMode="auto">
        <a:xfrm>
          <a:off x="11249025" y="92497275"/>
          <a:ext cx="104775" cy="224895"/>
        </a:xfrm>
        <a:prstGeom prst="rect">
          <a:avLst/>
        </a:prstGeom>
        <a:noFill/>
        <a:ln w="9525">
          <a:noFill/>
          <a:miter lim="800000"/>
          <a:headEnd/>
          <a:tailEnd/>
        </a:ln>
      </xdr:spPr>
    </xdr:sp>
    <xdr:clientData/>
  </xdr:oneCellAnchor>
  <xdr:twoCellAnchor>
    <xdr:from>
      <xdr:col>16</xdr:col>
      <xdr:colOff>128322</xdr:colOff>
      <xdr:row>4</xdr:row>
      <xdr:rowOff>214313</xdr:rowOff>
    </xdr:from>
    <xdr:to>
      <xdr:col>16</xdr:col>
      <xdr:colOff>313532</xdr:colOff>
      <xdr:row>4</xdr:row>
      <xdr:rowOff>354013</xdr:rowOff>
    </xdr:to>
    <xdr:sp macro="" textlink="">
      <xdr:nvSpPr>
        <xdr:cNvPr id="217" name="Oval 75">
          <a:extLst>
            <a:ext uri="{FF2B5EF4-FFF2-40B4-BE49-F238E27FC236}">
              <a16:creationId xmlns:a16="http://schemas.microsoft.com/office/drawing/2014/main" id="{73EE9983-B09B-4032-845A-787017DBC23C}"/>
            </a:ext>
          </a:extLst>
        </xdr:cNvPr>
        <xdr:cNvSpPr>
          <a:spLocks noChangeArrowheads="1"/>
        </xdr:cNvSpPr>
      </xdr:nvSpPr>
      <xdr:spPr bwMode="auto">
        <a:xfrm>
          <a:off x="8881797" y="1357313"/>
          <a:ext cx="185210" cy="139700"/>
        </a:xfrm>
        <a:prstGeom prst="ellipse">
          <a:avLst/>
        </a:prstGeom>
        <a:noFill/>
        <a:ln w="9525">
          <a:solidFill>
            <a:srgbClr val="000000"/>
          </a:solidFill>
          <a:round/>
          <a:headEnd/>
          <a:tailEnd/>
        </a:ln>
      </xdr:spPr>
      <xdr:txBody>
        <a:bodyPr vertOverflow="clip" wrap="square" lIns="0" tIns="0" rIns="0" bIns="0" anchor="ctr" anchorCtr="0" upright="1"/>
        <a:lstStyle/>
        <a:p>
          <a:pPr algn="ctr" rtl="0">
            <a:defRPr sz="1000"/>
          </a:pPr>
          <a:r>
            <a:rPr lang="ja-JP" altLang="en-US" sz="1000" b="1" i="0" u="none" strike="noStrike" baseline="0">
              <a:solidFill>
                <a:srgbClr val="000000"/>
              </a:solidFill>
              <a:latin typeface="ＭＳ Ｐゴシック"/>
              <a:ea typeface="ＭＳ Ｐゴシック"/>
            </a:rPr>
            <a:t>A</a:t>
          </a:r>
        </a:p>
      </xdr:txBody>
    </xdr:sp>
    <xdr:clientData/>
  </xdr:twoCellAnchor>
  <xdr:twoCellAnchor>
    <xdr:from>
      <xdr:col>16</xdr:col>
      <xdr:colOff>579438</xdr:colOff>
      <xdr:row>4</xdr:row>
      <xdr:rowOff>214313</xdr:rowOff>
    </xdr:from>
    <xdr:to>
      <xdr:col>16</xdr:col>
      <xdr:colOff>777876</xdr:colOff>
      <xdr:row>4</xdr:row>
      <xdr:rowOff>354013</xdr:rowOff>
    </xdr:to>
    <xdr:sp macro="" textlink="">
      <xdr:nvSpPr>
        <xdr:cNvPr id="218" name="Oval 63">
          <a:extLst>
            <a:ext uri="{FF2B5EF4-FFF2-40B4-BE49-F238E27FC236}">
              <a16:creationId xmlns:a16="http://schemas.microsoft.com/office/drawing/2014/main" id="{2E2EB07C-1B9B-425D-9D72-ACDFF4B5DD58}"/>
            </a:ext>
          </a:extLst>
        </xdr:cNvPr>
        <xdr:cNvSpPr>
          <a:spLocks noChangeArrowheads="1"/>
        </xdr:cNvSpPr>
      </xdr:nvSpPr>
      <xdr:spPr bwMode="auto">
        <a:xfrm>
          <a:off x="9332913" y="1357313"/>
          <a:ext cx="198438" cy="139700"/>
        </a:xfrm>
        <a:prstGeom prst="ellipse">
          <a:avLst/>
        </a:prstGeom>
        <a:noFill/>
        <a:ln w="9525">
          <a:solidFill>
            <a:srgbClr val="000000"/>
          </a:solidFill>
          <a:round/>
          <a:headEnd/>
          <a:tailEnd/>
        </a:ln>
      </xdr:spPr>
      <xdr:txBody>
        <a:bodyPr vertOverflow="clip" wrap="square" lIns="0" tIns="0" rIns="0" bIns="0" anchor="ctr" anchorCtr="0" upright="1"/>
        <a:lstStyle/>
        <a:p>
          <a:pPr algn="ctr" rtl="0">
            <a:defRPr sz="1000"/>
          </a:pPr>
          <a:r>
            <a:rPr lang="ja-JP" altLang="en-US" sz="1000" b="1" i="0" u="none" strike="noStrike" baseline="0">
              <a:solidFill>
                <a:srgbClr val="000000"/>
              </a:solidFill>
              <a:latin typeface="ＭＳ Ｐゴシック"/>
              <a:ea typeface="ＭＳ Ｐゴシック"/>
            </a:rPr>
            <a:t>B</a:t>
          </a:r>
        </a:p>
      </xdr:txBody>
    </xdr:sp>
    <xdr:clientData/>
  </xdr:twoCellAnchor>
  <xdr:oneCellAnchor>
    <xdr:from>
      <xdr:col>16</xdr:col>
      <xdr:colOff>85725</xdr:colOff>
      <xdr:row>267</xdr:row>
      <xdr:rowOff>0</xdr:rowOff>
    </xdr:from>
    <xdr:ext cx="104775" cy="228600"/>
    <xdr:sp macro="" textlink="">
      <xdr:nvSpPr>
        <xdr:cNvPr id="219" name="Text Box 54">
          <a:extLst>
            <a:ext uri="{FF2B5EF4-FFF2-40B4-BE49-F238E27FC236}">
              <a16:creationId xmlns:a16="http://schemas.microsoft.com/office/drawing/2014/main" id="{2849AB26-39E8-4751-9F1C-43EAA8E333E9}"/>
            </a:ext>
          </a:extLst>
        </xdr:cNvPr>
        <xdr:cNvSpPr txBox="1">
          <a:spLocks noChangeArrowheads="1"/>
        </xdr:cNvSpPr>
      </xdr:nvSpPr>
      <xdr:spPr bwMode="auto">
        <a:xfrm>
          <a:off x="8839200" y="83048475"/>
          <a:ext cx="104775" cy="228600"/>
        </a:xfrm>
        <a:prstGeom prst="rect">
          <a:avLst/>
        </a:prstGeom>
        <a:noFill/>
        <a:ln w="9525">
          <a:noFill/>
          <a:miter lim="800000"/>
          <a:headEnd/>
          <a:tailEnd/>
        </a:ln>
      </xdr:spPr>
    </xdr:sp>
    <xdr:clientData/>
  </xdr:oneCellAnchor>
  <xdr:oneCellAnchor>
    <xdr:from>
      <xdr:col>20</xdr:col>
      <xdr:colOff>85725</xdr:colOff>
      <xdr:row>263</xdr:row>
      <xdr:rowOff>0</xdr:rowOff>
    </xdr:from>
    <xdr:ext cx="104775" cy="228600"/>
    <xdr:sp macro="" textlink="">
      <xdr:nvSpPr>
        <xdr:cNvPr id="220" name="Text Box 19">
          <a:extLst>
            <a:ext uri="{FF2B5EF4-FFF2-40B4-BE49-F238E27FC236}">
              <a16:creationId xmlns:a16="http://schemas.microsoft.com/office/drawing/2014/main" id="{43A9A355-8D00-4822-9C72-566D1101AD57}"/>
            </a:ext>
          </a:extLst>
        </xdr:cNvPr>
        <xdr:cNvSpPr txBox="1">
          <a:spLocks noChangeArrowheads="1"/>
        </xdr:cNvSpPr>
      </xdr:nvSpPr>
      <xdr:spPr bwMode="auto">
        <a:xfrm>
          <a:off x="11896725" y="82210275"/>
          <a:ext cx="104775" cy="228600"/>
        </a:xfrm>
        <a:prstGeom prst="rect">
          <a:avLst/>
        </a:prstGeom>
        <a:noFill/>
        <a:ln w="9525">
          <a:noFill/>
          <a:miter lim="800000"/>
          <a:headEnd/>
          <a:tailEnd/>
        </a:ln>
      </xdr:spPr>
    </xdr:sp>
    <xdr:clientData/>
  </xdr:oneCellAnchor>
  <xdr:twoCellAnchor>
    <xdr:from>
      <xdr:col>34</xdr:col>
      <xdr:colOff>13607</xdr:colOff>
      <xdr:row>7</xdr:row>
      <xdr:rowOff>0</xdr:rowOff>
    </xdr:from>
    <xdr:to>
      <xdr:col>34</xdr:col>
      <xdr:colOff>598714</xdr:colOff>
      <xdr:row>7</xdr:row>
      <xdr:rowOff>313872</xdr:rowOff>
    </xdr:to>
    <xdr:sp macro="" textlink="">
      <xdr:nvSpPr>
        <xdr:cNvPr id="221" name="テキスト ボックス 220">
          <a:extLst>
            <a:ext uri="{FF2B5EF4-FFF2-40B4-BE49-F238E27FC236}">
              <a16:creationId xmlns:a16="http://schemas.microsoft.com/office/drawing/2014/main" id="{B9ECEABC-1C78-4307-A65B-6C236C772DA4}"/>
            </a:ext>
          </a:extLst>
        </xdr:cNvPr>
        <xdr:cNvSpPr txBox="1"/>
      </xdr:nvSpPr>
      <xdr:spPr>
        <a:xfrm>
          <a:off x="17692007" y="2171700"/>
          <a:ext cx="585107" cy="313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900">
              <a:latin typeface="+mn-ea"/>
              <a:ea typeface="+mn-ea"/>
            </a:rPr>
            <a:t>教材費</a:t>
          </a:r>
          <a:endParaRPr kumimoji="1" lang="en-US" altLang="ja-JP" sz="900">
            <a:latin typeface="+mn-ea"/>
            <a:ea typeface="+mn-ea"/>
          </a:endParaRPr>
        </a:p>
        <a:p>
          <a:pPr algn="ctr"/>
          <a:r>
            <a:rPr kumimoji="1" lang="en-US" altLang="ja-JP" sz="900">
              <a:latin typeface="+mn-ea"/>
              <a:ea typeface="+mn-ea"/>
            </a:rPr>
            <a:t>2,060,000</a:t>
          </a:r>
          <a:endParaRPr kumimoji="1" lang="ja-JP" altLang="en-US" sz="900">
            <a:latin typeface="+mn-ea"/>
            <a:ea typeface="+mn-ea"/>
          </a:endParaRPr>
        </a:p>
      </xdr:txBody>
    </xdr:sp>
    <xdr:clientData/>
  </xdr:twoCellAnchor>
  <xdr:twoCellAnchor>
    <xdr:from>
      <xdr:col>34</xdr:col>
      <xdr:colOff>0</xdr:colOff>
      <xdr:row>8</xdr:row>
      <xdr:rowOff>27214</xdr:rowOff>
    </xdr:from>
    <xdr:to>
      <xdr:col>34</xdr:col>
      <xdr:colOff>585107</xdr:colOff>
      <xdr:row>9</xdr:row>
      <xdr:rowOff>14514</xdr:rowOff>
    </xdr:to>
    <xdr:sp macro="" textlink="">
      <xdr:nvSpPr>
        <xdr:cNvPr id="222" name="テキスト ボックス 221">
          <a:extLst>
            <a:ext uri="{FF2B5EF4-FFF2-40B4-BE49-F238E27FC236}">
              <a16:creationId xmlns:a16="http://schemas.microsoft.com/office/drawing/2014/main" id="{82D18737-535A-4271-858E-B70B93EB73BE}"/>
            </a:ext>
          </a:extLst>
        </xdr:cNvPr>
        <xdr:cNvSpPr txBox="1"/>
      </xdr:nvSpPr>
      <xdr:spPr>
        <a:xfrm>
          <a:off x="17678400" y="2522764"/>
          <a:ext cx="585107" cy="311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900">
              <a:latin typeface="+mn-ea"/>
              <a:ea typeface="+mn-ea"/>
            </a:rPr>
            <a:t>教材費</a:t>
          </a:r>
          <a:endParaRPr kumimoji="1" lang="en-US" altLang="ja-JP" sz="900">
            <a:latin typeface="+mn-ea"/>
            <a:ea typeface="+mn-ea"/>
          </a:endParaRPr>
        </a:p>
        <a:p>
          <a:pPr algn="ctr"/>
          <a:r>
            <a:rPr kumimoji="1" lang="en-US" altLang="ja-JP" sz="900">
              <a:latin typeface="+mn-ea"/>
              <a:ea typeface="+mn-ea"/>
            </a:rPr>
            <a:t>4,100,000</a:t>
          </a:r>
          <a:endParaRPr kumimoji="1" lang="ja-JP" altLang="en-US" sz="900">
            <a:latin typeface="+mn-ea"/>
            <a:ea typeface="+mn-ea"/>
          </a:endParaRPr>
        </a:p>
      </xdr:txBody>
    </xdr:sp>
    <xdr:clientData/>
  </xdr:twoCellAnchor>
  <xdr:twoCellAnchor>
    <xdr:from>
      <xdr:col>33</xdr:col>
      <xdr:colOff>544285</xdr:colOff>
      <xdr:row>6</xdr:row>
      <xdr:rowOff>27215</xdr:rowOff>
    </xdr:from>
    <xdr:to>
      <xdr:col>34</xdr:col>
      <xdr:colOff>571499</xdr:colOff>
      <xdr:row>7</xdr:row>
      <xdr:rowOff>27215</xdr:rowOff>
    </xdr:to>
    <xdr:sp macro="" textlink="">
      <xdr:nvSpPr>
        <xdr:cNvPr id="223" name="テキスト ボックス 222">
          <a:extLst>
            <a:ext uri="{FF2B5EF4-FFF2-40B4-BE49-F238E27FC236}">
              <a16:creationId xmlns:a16="http://schemas.microsoft.com/office/drawing/2014/main" id="{BD1332CB-50D2-4003-AB7D-CA4EECE58DD7}"/>
            </a:ext>
          </a:extLst>
        </xdr:cNvPr>
        <xdr:cNvSpPr txBox="1"/>
      </xdr:nvSpPr>
      <xdr:spPr>
        <a:xfrm>
          <a:off x="17670235" y="1875065"/>
          <a:ext cx="579664"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900">
              <a:latin typeface="+mj-ea"/>
              <a:ea typeface="+mj-ea"/>
            </a:rPr>
            <a:t>納付金等</a:t>
          </a:r>
          <a:endParaRPr kumimoji="1" lang="en-US" altLang="ja-JP" sz="900">
            <a:latin typeface="+mj-ea"/>
            <a:ea typeface="+mj-ea"/>
          </a:endParaRPr>
        </a:p>
        <a:p>
          <a:pPr algn="ctr"/>
          <a:r>
            <a:rPr kumimoji="1" lang="en-US" altLang="ja-JP" sz="900">
              <a:latin typeface="+mj-ea"/>
              <a:ea typeface="+mj-ea"/>
            </a:rPr>
            <a:t>156,000</a:t>
          </a:r>
          <a:endParaRPr kumimoji="1" lang="ja-JP" altLang="en-US" sz="900">
            <a:latin typeface="+mj-ea"/>
            <a:ea typeface="+mj-ea"/>
          </a:endParaRPr>
        </a:p>
      </xdr:txBody>
    </xdr:sp>
    <xdr:clientData/>
  </xdr:twoCellAnchor>
  <xdr:twoCellAnchor>
    <xdr:from>
      <xdr:col>34</xdr:col>
      <xdr:colOff>27213</xdr:colOff>
      <xdr:row>14</xdr:row>
      <xdr:rowOff>27214</xdr:rowOff>
    </xdr:from>
    <xdr:to>
      <xdr:col>34</xdr:col>
      <xdr:colOff>612320</xdr:colOff>
      <xdr:row>16</xdr:row>
      <xdr:rowOff>14515</xdr:rowOff>
    </xdr:to>
    <xdr:sp macro="" textlink="">
      <xdr:nvSpPr>
        <xdr:cNvPr id="224" name="テキスト ボックス 223">
          <a:extLst>
            <a:ext uri="{FF2B5EF4-FFF2-40B4-BE49-F238E27FC236}">
              <a16:creationId xmlns:a16="http://schemas.microsoft.com/office/drawing/2014/main" id="{355B6BA4-B1DB-4258-B63A-7C5DE14F874E}"/>
            </a:ext>
          </a:extLst>
        </xdr:cNvPr>
        <xdr:cNvSpPr txBox="1"/>
      </xdr:nvSpPr>
      <xdr:spPr>
        <a:xfrm>
          <a:off x="17705613" y="4456339"/>
          <a:ext cx="585107" cy="3111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900">
              <a:latin typeface="+mn-ea"/>
              <a:ea typeface="+mn-ea"/>
            </a:rPr>
            <a:t>教材費</a:t>
          </a:r>
          <a:endParaRPr kumimoji="1" lang="en-US" altLang="ja-JP" sz="900">
            <a:latin typeface="+mn-ea"/>
            <a:ea typeface="+mn-ea"/>
          </a:endParaRPr>
        </a:p>
        <a:p>
          <a:pPr algn="ctr"/>
          <a:r>
            <a:rPr kumimoji="1" lang="en-US" altLang="ja-JP" sz="900">
              <a:latin typeface="+mn-ea"/>
              <a:ea typeface="+mn-ea"/>
            </a:rPr>
            <a:t>230,000</a:t>
          </a:r>
          <a:endParaRPr kumimoji="1" lang="ja-JP" altLang="en-US" sz="900">
            <a:latin typeface="+mn-ea"/>
            <a:ea typeface="+mn-ea"/>
          </a:endParaRPr>
        </a:p>
      </xdr:txBody>
    </xdr:sp>
    <xdr:clientData/>
  </xdr:twoCellAnchor>
  <xdr:twoCellAnchor>
    <xdr:from>
      <xdr:col>34</xdr:col>
      <xdr:colOff>13607</xdr:colOff>
      <xdr:row>10</xdr:row>
      <xdr:rowOff>13608</xdr:rowOff>
    </xdr:from>
    <xdr:to>
      <xdr:col>34</xdr:col>
      <xdr:colOff>598714</xdr:colOff>
      <xdr:row>11</xdr:row>
      <xdr:rowOff>908</xdr:rowOff>
    </xdr:to>
    <xdr:sp macro="" textlink="">
      <xdr:nvSpPr>
        <xdr:cNvPr id="225" name="テキスト ボックス 224">
          <a:extLst>
            <a:ext uri="{FF2B5EF4-FFF2-40B4-BE49-F238E27FC236}">
              <a16:creationId xmlns:a16="http://schemas.microsoft.com/office/drawing/2014/main" id="{F95E2C85-226A-4E29-A385-97665EB7A181}"/>
            </a:ext>
          </a:extLst>
        </xdr:cNvPr>
        <xdr:cNvSpPr txBox="1"/>
      </xdr:nvSpPr>
      <xdr:spPr>
        <a:xfrm>
          <a:off x="17692007" y="3156858"/>
          <a:ext cx="585107" cy="311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900">
              <a:latin typeface="+mn-ea"/>
              <a:ea typeface="+mn-ea"/>
            </a:rPr>
            <a:t>教材費</a:t>
          </a:r>
          <a:endParaRPr kumimoji="1" lang="en-US" altLang="ja-JP" sz="900">
            <a:latin typeface="+mn-ea"/>
            <a:ea typeface="+mn-ea"/>
          </a:endParaRPr>
        </a:p>
        <a:p>
          <a:pPr algn="ctr"/>
          <a:r>
            <a:rPr kumimoji="1" lang="en-US" altLang="ja-JP" sz="900">
              <a:latin typeface="+mn-ea"/>
              <a:ea typeface="+mn-ea"/>
            </a:rPr>
            <a:t>875,000</a:t>
          </a:r>
          <a:endParaRPr kumimoji="1" lang="ja-JP" altLang="en-US" sz="900">
            <a:latin typeface="+mn-ea"/>
            <a:ea typeface="+mn-ea"/>
          </a:endParaRPr>
        </a:p>
      </xdr:txBody>
    </xdr:sp>
    <xdr:clientData/>
  </xdr:twoCellAnchor>
  <xdr:twoCellAnchor>
    <xdr:from>
      <xdr:col>35</xdr:col>
      <xdr:colOff>0</xdr:colOff>
      <xdr:row>35</xdr:row>
      <xdr:rowOff>0</xdr:rowOff>
    </xdr:from>
    <xdr:to>
      <xdr:col>36</xdr:col>
      <xdr:colOff>0</xdr:colOff>
      <xdr:row>35</xdr:row>
      <xdr:rowOff>313872</xdr:rowOff>
    </xdr:to>
    <xdr:sp macro="" textlink="">
      <xdr:nvSpPr>
        <xdr:cNvPr id="226" name="テキスト ボックス 225">
          <a:extLst>
            <a:ext uri="{FF2B5EF4-FFF2-40B4-BE49-F238E27FC236}">
              <a16:creationId xmlns:a16="http://schemas.microsoft.com/office/drawing/2014/main" id="{B9B822B6-0899-4942-88DF-4467B5F1EF6A}"/>
            </a:ext>
          </a:extLst>
        </xdr:cNvPr>
        <xdr:cNvSpPr txBox="1"/>
      </xdr:nvSpPr>
      <xdr:spPr>
        <a:xfrm>
          <a:off x="18288000" y="10201275"/>
          <a:ext cx="590550" cy="313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850">
              <a:latin typeface="+mn-ea"/>
              <a:ea typeface="+mn-ea"/>
            </a:rPr>
            <a:t>割当事務費</a:t>
          </a:r>
          <a:endParaRPr kumimoji="1" lang="en-US" altLang="ja-JP" sz="850">
            <a:latin typeface="+mn-ea"/>
            <a:ea typeface="+mn-ea"/>
          </a:endParaRPr>
        </a:p>
        <a:p>
          <a:pPr algn="ctr"/>
          <a:r>
            <a:rPr kumimoji="1" lang="en-US" altLang="ja-JP" sz="850">
              <a:latin typeface="+mn-ea"/>
              <a:ea typeface="+mn-ea"/>
            </a:rPr>
            <a:t>130,000</a:t>
          </a:r>
          <a:endParaRPr kumimoji="1" lang="ja-JP" altLang="en-US" sz="850">
            <a:latin typeface="+mn-ea"/>
            <a:ea typeface="+mn-ea"/>
          </a:endParaRP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6399;&#38291;&#22823;&#20250;&#24441;&#21729;&#25163;&#24403;&#12390;&#37329;&#31278;&#34920;1"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Owner/&#12487;&#12473;&#12463;&#12488;&#12483;&#12503;/ExcelBackUp/Documents%20and%20Settings/&#39640;&#27211;&#32000;&#33521;&#23376;/My%20Documents/17&#24180;&#24230;&#20104;&#31639;/17&#24180;&#24230;&#20104;&#31639;&#35531;&#2771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30476;&#21332;&#20250;\Documents%20and%20Settings\&#39640;&#27211;&#32000;&#33521;&#23376;\My%20Documents\17&#24180;&#24230;&#20104;&#31639;\17&#24180;&#24230;&#20104;&#31639;&#35531;&#2771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報告書"/>
      <sheetName val="役員１"/>
      <sheetName val="vlookupリスト"/>
      <sheetName val="審判割り当て"/>
      <sheetName val="医師・看護師"/>
      <sheetName val="日当封筒用"/>
      <sheetName val="Sheet1"/>
      <sheetName val="リスト"/>
      <sheetName val="チーム情報"/>
      <sheetName val="スタッフ情報"/>
      <sheetName val="選手情報①"/>
      <sheetName val="選手情報②"/>
      <sheetName val="パンフチーム情報（2部）"/>
      <sheetName val="パンフ選手情報（2部）"/>
    </sheetNames>
    <sheetDataSet>
      <sheetData sheetId="0" refreshError="1"/>
      <sheetData sheetId="1"/>
      <sheetData sheetId="2"/>
      <sheetData sheetId="3" refreshError="1"/>
      <sheetData sheetId="4"/>
      <sheetData sheetId="5" refreshError="1"/>
      <sheetData sheetId="6"/>
      <sheetData sheetId="7" refreshError="1"/>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7年度予算"/>
      <sheetName val="17年度予算 (2)"/>
      <sheetName val="17年度予算 (3)"/>
      <sheetName val="17年度予算 (4)連盟、委員会へ"/>
      <sheetName val="リスト"/>
      <sheetName val="技術委員会取り出し"/>
      <sheetName val="審判委員会取り出し"/>
      <sheetName val="事業費運営費について"/>
      <sheetName val="平成16年度技術委員会分取り出し"/>
    </sheetNames>
    <sheetDataSet>
      <sheetData sheetId="0"/>
      <sheetData sheetId="1"/>
      <sheetData sheetId="2"/>
      <sheetData sheetId="3"/>
      <sheetData sheetId="4">
        <row r="1">
          <cell r="D1" t="str">
            <v>011 社会人</v>
          </cell>
        </row>
        <row r="2">
          <cell r="D2" t="str">
            <v>012 大学</v>
          </cell>
        </row>
        <row r="3">
          <cell r="D3" t="str">
            <v>013 自治体</v>
          </cell>
        </row>
        <row r="4">
          <cell r="D4" t="str">
            <v>021 高校</v>
          </cell>
        </row>
        <row r="5">
          <cell r="D5" t="str">
            <v>022 ｸﾗﾌﾞ</v>
          </cell>
        </row>
        <row r="6">
          <cell r="D6" t="str">
            <v>023 ２種</v>
          </cell>
        </row>
        <row r="7">
          <cell r="D7" t="str">
            <v>031 中学</v>
          </cell>
        </row>
        <row r="8">
          <cell r="D8" t="str">
            <v>032 ｸﾗﾌﾞ</v>
          </cell>
        </row>
        <row r="9">
          <cell r="D9" t="str">
            <v>033 ３種</v>
          </cell>
        </row>
        <row r="10">
          <cell r="D10" t="str">
            <v>040 ４種</v>
          </cell>
        </row>
        <row r="11">
          <cell r="D11" t="str">
            <v>051 少女</v>
          </cell>
        </row>
        <row r="12">
          <cell r="D12" t="str">
            <v>052 女子</v>
          </cell>
        </row>
        <row r="13">
          <cell r="D13" t="str">
            <v>060 ﾌｯﾄｻﾙ</v>
          </cell>
        </row>
        <row r="14">
          <cell r="D14" t="str">
            <v>070 シニア</v>
          </cell>
        </row>
        <row r="15">
          <cell r="D15" t="str">
            <v>080 強化</v>
          </cell>
        </row>
        <row r="16">
          <cell r="D16" t="str">
            <v>091 トレセン</v>
          </cell>
        </row>
        <row r="17">
          <cell r="D17" t="str">
            <v>092 指導者養成</v>
          </cell>
        </row>
        <row r="18">
          <cell r="D18" t="str">
            <v>093 チーム派遣</v>
          </cell>
        </row>
        <row r="19">
          <cell r="D19" t="str">
            <v>094 技術委員会</v>
          </cell>
        </row>
        <row r="20">
          <cell r="D20" t="str">
            <v>101 審判派遣</v>
          </cell>
        </row>
        <row r="21">
          <cell r="D21" t="str">
            <v>102 審判研修</v>
          </cell>
        </row>
        <row r="22">
          <cell r="D22" t="str">
            <v>103 審判委員会</v>
          </cell>
        </row>
        <row r="23">
          <cell r="D23" t="str">
            <v>110 キッズ</v>
          </cell>
        </row>
        <row r="24">
          <cell r="D24" t="str">
            <v>120 医事</v>
          </cell>
        </row>
        <row r="25">
          <cell r="D25" t="str">
            <v>130 科学研究</v>
          </cell>
        </row>
        <row r="26">
          <cell r="D26" t="str">
            <v>140 広報</v>
          </cell>
        </row>
        <row r="27">
          <cell r="D27" t="str">
            <v>150 規律フェアプレー</v>
          </cell>
        </row>
        <row r="28">
          <cell r="D28" t="str">
            <v>000 事務局</v>
          </cell>
        </row>
      </sheetData>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7年度予算"/>
      <sheetName val="17年度予算 (2)"/>
      <sheetName val="17年度予算 (3)"/>
      <sheetName val="17年度予算 (4)連盟、委員会へ"/>
      <sheetName val="リスト"/>
      <sheetName val="技術委員会取り出し"/>
      <sheetName val="審判委員会取り出し"/>
      <sheetName val="事業費運営費について"/>
      <sheetName val="平成16年度技術委員会分取り出し"/>
    </sheetNames>
    <sheetDataSet>
      <sheetData sheetId="0"/>
      <sheetData sheetId="1"/>
      <sheetData sheetId="2"/>
      <sheetData sheetId="3"/>
      <sheetData sheetId="4">
        <row r="1">
          <cell r="D1" t="str">
            <v>011 社会人</v>
          </cell>
        </row>
        <row r="2">
          <cell r="D2" t="str">
            <v>012 大学</v>
          </cell>
        </row>
        <row r="3">
          <cell r="D3" t="str">
            <v>013 自治体</v>
          </cell>
        </row>
        <row r="4">
          <cell r="D4" t="str">
            <v>021 高校</v>
          </cell>
        </row>
        <row r="5">
          <cell r="D5" t="str">
            <v>022 ｸﾗﾌﾞ</v>
          </cell>
        </row>
        <row r="6">
          <cell r="D6" t="str">
            <v>023 ２種</v>
          </cell>
        </row>
        <row r="7">
          <cell r="D7" t="str">
            <v>031 中学</v>
          </cell>
        </row>
        <row r="8">
          <cell r="D8" t="str">
            <v>032 ｸﾗﾌﾞ</v>
          </cell>
        </row>
        <row r="9">
          <cell r="D9" t="str">
            <v>033 ３種</v>
          </cell>
        </row>
        <row r="10">
          <cell r="D10" t="str">
            <v>040 ４種</v>
          </cell>
        </row>
        <row r="11">
          <cell r="D11" t="str">
            <v>051 少女</v>
          </cell>
        </row>
        <row r="12">
          <cell r="D12" t="str">
            <v>052 女子</v>
          </cell>
        </row>
        <row r="13">
          <cell r="D13" t="str">
            <v>060 ﾌｯﾄｻﾙ</v>
          </cell>
        </row>
        <row r="14">
          <cell r="D14" t="str">
            <v>070 シニア</v>
          </cell>
        </row>
        <row r="15">
          <cell r="D15" t="str">
            <v>080 強化</v>
          </cell>
        </row>
        <row r="16">
          <cell r="D16" t="str">
            <v>091 トレセン</v>
          </cell>
        </row>
        <row r="17">
          <cell r="D17" t="str">
            <v>092 指導者養成</v>
          </cell>
        </row>
        <row r="18">
          <cell r="D18" t="str">
            <v>093 チーム派遣</v>
          </cell>
        </row>
        <row r="19">
          <cell r="D19" t="str">
            <v>094 技術委員会</v>
          </cell>
        </row>
        <row r="20">
          <cell r="D20" t="str">
            <v>101 審判派遣</v>
          </cell>
        </row>
        <row r="21">
          <cell r="D21" t="str">
            <v>102 審判研修</v>
          </cell>
        </row>
        <row r="22">
          <cell r="D22" t="str">
            <v>103 審判委員会</v>
          </cell>
        </row>
        <row r="23">
          <cell r="D23" t="str">
            <v>110 キッズ</v>
          </cell>
        </row>
        <row r="24">
          <cell r="D24" t="str">
            <v>120 医事</v>
          </cell>
        </row>
        <row r="25">
          <cell r="D25" t="str">
            <v>130 科学研究</v>
          </cell>
        </row>
        <row r="26">
          <cell r="D26" t="str">
            <v>140 広報</v>
          </cell>
        </row>
        <row r="27">
          <cell r="D27" t="str">
            <v>150 規律フェアプレー</v>
          </cell>
        </row>
        <row r="28">
          <cell r="D28" t="str">
            <v>000 事務局</v>
          </cell>
        </row>
      </sheetData>
      <sheetData sheetId="5"/>
      <sheetData sheetId="6"/>
      <sheetData sheetId="7"/>
      <sheetData sheetId="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A56"/>
  <sheetViews>
    <sheetView tabSelected="1" view="pageBreakPreview" zoomScaleNormal="100" zoomScaleSheetLayoutView="100" workbookViewId="0">
      <selection activeCell="E10" sqref="E10:G10"/>
    </sheetView>
  </sheetViews>
  <sheetFormatPr defaultColWidth="8.77734375" defaultRowHeight="16.2"/>
  <cols>
    <col min="1" max="1" width="4.21875" style="249" customWidth="1"/>
    <col min="2" max="2" width="2.109375" style="249" customWidth="1"/>
    <col min="3" max="3" width="17.44140625" style="249" customWidth="1"/>
    <col min="4" max="4" width="11.21875" style="249" customWidth="1"/>
    <col min="5" max="5" width="6.21875" style="249" customWidth="1"/>
    <col min="6" max="6" width="11.21875" style="249" customWidth="1"/>
    <col min="7" max="7" width="5.109375" style="249" customWidth="1"/>
    <col min="8" max="8" width="5" style="249" customWidth="1"/>
    <col min="9" max="9" width="5.33203125" style="249" customWidth="1"/>
    <col min="10" max="10" width="5.109375" style="249" customWidth="1"/>
    <col min="11" max="11" width="5.33203125" style="249" customWidth="1"/>
    <col min="12" max="12" width="3.77734375" style="249" customWidth="1"/>
    <col min="13" max="13" width="8.109375" style="249" customWidth="1"/>
    <col min="14" max="14" width="12.44140625" style="249" customWidth="1"/>
    <col min="15" max="15" width="8.109375" style="249" customWidth="1"/>
    <col min="16" max="16" width="5.6640625" style="249" customWidth="1"/>
    <col min="17" max="17" width="5" style="249" customWidth="1"/>
    <col min="18" max="18" width="4.33203125" style="249" customWidth="1"/>
    <col min="19" max="19" width="8.109375" style="249" customWidth="1"/>
    <col min="20" max="20" width="3.6640625" style="249" customWidth="1"/>
    <col min="21" max="21" width="6.88671875" style="249" customWidth="1"/>
    <col min="22" max="22" width="3.77734375" style="249" customWidth="1"/>
    <col min="23" max="23" width="6.88671875" style="249" customWidth="1"/>
    <col min="24" max="24" width="3.77734375" style="249" customWidth="1"/>
    <col min="25" max="25" width="5" style="249" customWidth="1"/>
    <col min="26" max="16384" width="8.77734375" style="249"/>
  </cols>
  <sheetData>
    <row r="1" spans="1:25" ht="5.25" customHeight="1">
      <c r="C1" s="255"/>
      <c r="D1" s="255"/>
      <c r="E1" s="255"/>
      <c r="F1" s="255"/>
      <c r="G1" s="1052"/>
      <c r="H1" s="1053"/>
      <c r="I1" s="979"/>
    </row>
    <row r="2" spans="1:25" ht="26.25" customHeight="1">
      <c r="C2" s="1082" t="s">
        <v>5711</v>
      </c>
      <c r="D2" s="1082"/>
      <c r="E2" s="1082"/>
      <c r="F2" s="1082"/>
      <c r="G2" s="1082"/>
      <c r="H2" s="1082"/>
      <c r="I2" s="1082"/>
      <c r="J2" s="1082"/>
      <c r="K2" s="1082"/>
      <c r="L2" s="1082"/>
      <c r="M2" s="1082"/>
      <c r="N2" s="1082"/>
      <c r="O2" s="1082"/>
      <c r="P2" s="1082"/>
      <c r="Q2" s="1082"/>
      <c r="R2" s="1082"/>
      <c r="S2" s="1082"/>
      <c r="T2" s="255"/>
      <c r="U2" s="255"/>
      <c r="V2" s="255"/>
      <c r="W2" s="255"/>
      <c r="X2" s="255"/>
      <c r="Y2" s="980" t="s">
        <v>5709</v>
      </c>
    </row>
    <row r="3" spans="1:25" ht="6.75" customHeight="1">
      <c r="C3" s="255"/>
      <c r="D3" s="255"/>
      <c r="E3" s="255"/>
      <c r="F3" s="255"/>
      <c r="G3" s="981"/>
      <c r="P3" s="982"/>
      <c r="Q3" s="255"/>
      <c r="R3" s="982"/>
      <c r="S3" s="983"/>
      <c r="T3" s="982"/>
      <c r="U3" s="982"/>
      <c r="V3" s="984"/>
      <c r="W3" s="983"/>
      <c r="X3" s="982"/>
    </row>
    <row r="4" spans="1:25" ht="3.75" customHeight="1">
      <c r="F4" s="981"/>
    </row>
    <row r="5" spans="1:25" ht="17.25" customHeight="1">
      <c r="C5" s="985"/>
      <c r="D5" s="985"/>
      <c r="E5" s="985"/>
      <c r="F5" s="985"/>
      <c r="G5" s="985"/>
      <c r="H5" s="985"/>
      <c r="I5" s="985"/>
      <c r="J5" s="985"/>
      <c r="K5" s="985"/>
      <c r="L5" s="985"/>
      <c r="M5" s="985"/>
      <c r="N5" s="985"/>
      <c r="O5" s="985"/>
      <c r="P5" s="985"/>
      <c r="Q5" s="985"/>
      <c r="R5" s="985"/>
      <c r="S5" s="1053" t="s">
        <v>4840</v>
      </c>
      <c r="T5" s="1053"/>
      <c r="U5" s="1053"/>
      <c r="V5" s="1053"/>
      <c r="W5" s="1053"/>
      <c r="X5" s="1053"/>
    </row>
    <row r="6" spans="1:25" ht="5.25" customHeight="1">
      <c r="C6" s="985"/>
      <c r="D6" s="985"/>
      <c r="E6" s="985"/>
      <c r="F6" s="985"/>
      <c r="G6" s="985"/>
      <c r="H6" s="985"/>
      <c r="I6" s="985"/>
      <c r="J6" s="985"/>
      <c r="K6" s="985"/>
      <c r="L6" s="985"/>
      <c r="M6" s="985"/>
      <c r="N6" s="985"/>
      <c r="O6" s="985"/>
      <c r="P6" s="985"/>
      <c r="Q6" s="985"/>
      <c r="R6" s="985"/>
      <c r="S6" s="979"/>
      <c r="T6" s="979"/>
      <c r="U6" s="979"/>
      <c r="V6" s="979"/>
      <c r="W6" s="979"/>
      <c r="X6" s="979"/>
    </row>
    <row r="7" spans="1:25" ht="29.25" customHeight="1">
      <c r="B7" s="249" t="s">
        <v>5710</v>
      </c>
      <c r="R7" s="1000"/>
      <c r="S7" s="1000"/>
      <c r="T7" s="256" t="s">
        <v>5</v>
      </c>
      <c r="U7" s="257"/>
      <c r="V7" s="256" t="s">
        <v>4841</v>
      </c>
      <c r="W7" s="257"/>
      <c r="X7" s="256" t="s">
        <v>6</v>
      </c>
    </row>
    <row r="8" spans="1:25" ht="11.25" customHeight="1"/>
    <row r="9" spans="1:25" ht="6" customHeight="1" thickBot="1">
      <c r="G9" s="986"/>
    </row>
    <row r="10" spans="1:25" s="987" customFormat="1" ht="54" customHeight="1">
      <c r="A10" s="1054" t="s">
        <v>5733</v>
      </c>
      <c r="B10" s="1055"/>
      <c r="C10" s="1056" t="s">
        <v>4657</v>
      </c>
      <c r="D10" s="1057"/>
      <c r="E10" s="1066"/>
      <c r="F10" s="1067"/>
      <c r="G10" s="1068"/>
      <c r="H10" s="1058" t="e">
        <f>VLOOKUP(E10,'2021登録チーム'!A3:E1738,4,0)</f>
        <v>#N/A</v>
      </c>
      <c r="I10" s="1059"/>
      <c r="J10" s="1059"/>
      <c r="K10" s="1059"/>
      <c r="L10" s="1059"/>
      <c r="M10" s="1059"/>
      <c r="N10" s="1059"/>
      <c r="O10" s="1059"/>
      <c r="P10" s="1059"/>
      <c r="Q10" s="1059"/>
      <c r="R10" s="1059"/>
      <c r="S10" s="1059"/>
      <c r="T10" s="1059"/>
      <c r="U10" s="1059"/>
      <c r="V10" s="1059"/>
      <c r="W10" s="1059"/>
      <c r="X10" s="1060"/>
    </row>
    <row r="11" spans="1:25" s="987" customFormat="1" ht="18" customHeight="1">
      <c r="A11" s="1054"/>
      <c r="B11" s="1055"/>
      <c r="C11" s="1063" t="s">
        <v>5727</v>
      </c>
      <c r="D11" s="1064"/>
      <c r="E11" s="1064"/>
      <c r="F11" s="1064"/>
      <c r="G11" s="1064"/>
      <c r="H11" s="1064"/>
      <c r="I11" s="1064"/>
      <c r="J11" s="1064"/>
      <c r="K11" s="1064"/>
      <c r="L11" s="1064"/>
      <c r="M11" s="1064"/>
      <c r="N11" s="1064"/>
      <c r="O11" s="1064"/>
      <c r="P11" s="1064"/>
      <c r="Q11" s="1064"/>
      <c r="R11" s="1064"/>
      <c r="S11" s="1064"/>
      <c r="T11" s="1064"/>
      <c r="U11" s="1064"/>
      <c r="V11" s="1064"/>
      <c r="W11" s="1064"/>
      <c r="X11" s="1065"/>
    </row>
    <row r="12" spans="1:25" s="987" customFormat="1" ht="56.25" customHeight="1">
      <c r="A12" s="1054"/>
      <c r="B12" s="1055"/>
      <c r="C12" s="1061" t="s">
        <v>4658</v>
      </c>
      <c r="D12" s="1062"/>
      <c r="E12" s="1074"/>
      <c r="F12" s="1075"/>
      <c r="G12" s="1076"/>
      <c r="H12" s="1077" t="e">
        <f>VLOOKUP(E12,'2021事業№'!D6:H310,3,0)</f>
        <v>#N/A</v>
      </c>
      <c r="I12" s="1078"/>
      <c r="J12" s="1078"/>
      <c r="K12" s="1078"/>
      <c r="L12" s="1078"/>
      <c r="M12" s="1078"/>
      <c r="N12" s="1078"/>
      <c r="O12" s="1077" t="e">
        <f>VLOOKUP(E12,'2021事業№'!D6:H310,5,0)</f>
        <v>#N/A</v>
      </c>
      <c r="P12" s="1078"/>
      <c r="Q12" s="1078"/>
      <c r="R12" s="1078"/>
      <c r="S12" s="1078"/>
      <c r="T12" s="1078"/>
      <c r="U12" s="1078"/>
      <c r="V12" s="1078"/>
      <c r="W12" s="1078"/>
      <c r="X12" s="1079"/>
    </row>
    <row r="13" spans="1:25" s="987" customFormat="1" ht="18" customHeight="1">
      <c r="A13" s="1054"/>
      <c r="B13" s="1055"/>
      <c r="C13" s="1063" t="s">
        <v>5703</v>
      </c>
      <c r="D13" s="1064"/>
      <c r="E13" s="1064"/>
      <c r="F13" s="1064"/>
      <c r="G13" s="1064"/>
      <c r="H13" s="1064"/>
      <c r="I13" s="1064"/>
      <c r="J13" s="1064"/>
      <c r="K13" s="1064"/>
      <c r="L13" s="1064"/>
      <c r="M13" s="1064"/>
      <c r="N13" s="1064"/>
      <c r="O13" s="1064"/>
      <c r="P13" s="1064"/>
      <c r="Q13" s="1064"/>
      <c r="R13" s="1064"/>
      <c r="S13" s="1064"/>
      <c r="T13" s="1064"/>
      <c r="U13" s="1064"/>
      <c r="V13" s="1064"/>
      <c r="W13" s="1064"/>
      <c r="X13" s="1065"/>
    </row>
    <row r="14" spans="1:25" s="987" customFormat="1" ht="54" customHeight="1">
      <c r="A14" s="1054"/>
      <c r="B14" s="1055"/>
      <c r="C14" s="1069" t="s">
        <v>4838</v>
      </c>
      <c r="D14" s="1070"/>
      <c r="E14" s="1071"/>
      <c r="F14" s="1072"/>
      <c r="G14" s="1072"/>
      <c r="H14" s="1072"/>
      <c r="I14" s="1072"/>
      <c r="J14" s="1072"/>
      <c r="K14" s="1072"/>
      <c r="L14" s="1072"/>
      <c r="M14" s="1072"/>
      <c r="N14" s="1072"/>
      <c r="O14" s="1072"/>
      <c r="P14" s="1072"/>
      <c r="Q14" s="1072"/>
      <c r="R14" s="1072"/>
      <c r="S14" s="1072"/>
      <c r="T14" s="1072"/>
      <c r="U14" s="1072"/>
      <c r="V14" s="1072"/>
      <c r="W14" s="1072"/>
      <c r="X14" s="1073"/>
    </row>
    <row r="15" spans="1:25" s="987" customFormat="1" ht="45" customHeight="1">
      <c r="C15" s="1069" t="s">
        <v>4653</v>
      </c>
      <c r="D15" s="1070"/>
      <c r="E15" s="1090"/>
      <c r="F15" s="1091"/>
      <c r="G15" s="1091"/>
      <c r="H15" s="1091"/>
      <c r="I15" s="1091"/>
      <c r="J15" s="1091"/>
      <c r="K15" s="1091"/>
      <c r="L15" s="1091"/>
      <c r="M15" s="1091"/>
      <c r="N15" s="1091"/>
      <c r="O15" s="1091"/>
      <c r="P15" s="1091"/>
      <c r="Q15" s="1091"/>
      <c r="R15" s="1091"/>
      <c r="S15" s="1091"/>
      <c r="T15" s="1091"/>
      <c r="U15" s="1091"/>
      <c r="V15" s="1091"/>
      <c r="W15" s="1091"/>
      <c r="X15" s="1092"/>
    </row>
    <row r="16" spans="1:25" s="987" customFormat="1" ht="45" customHeight="1">
      <c r="C16" s="1069" t="s">
        <v>10</v>
      </c>
      <c r="D16" s="1070"/>
      <c r="E16" s="1084"/>
      <c r="F16" s="1085"/>
      <c r="G16" s="1085"/>
      <c r="H16" s="1085"/>
      <c r="I16" s="1085"/>
      <c r="J16" s="1085"/>
      <c r="K16" s="1085"/>
      <c r="L16" s="1085"/>
      <c r="M16" s="1086"/>
      <c r="N16" s="1087" t="s">
        <v>4</v>
      </c>
      <c r="O16" s="1087"/>
      <c r="P16" s="1088"/>
      <c r="Q16" s="1088"/>
      <c r="R16" s="1088"/>
      <c r="S16" s="1088"/>
      <c r="T16" s="1088"/>
      <c r="U16" s="1088"/>
      <c r="V16" s="1084"/>
      <c r="W16" s="1084"/>
      <c r="X16" s="1089"/>
    </row>
    <row r="17" spans="3:27" s="987" customFormat="1" ht="45" customHeight="1" thickBot="1">
      <c r="C17" s="1094" t="s">
        <v>9</v>
      </c>
      <c r="D17" s="1095"/>
      <c r="E17" s="1096"/>
      <c r="F17" s="1097"/>
      <c r="G17" s="1097"/>
      <c r="H17" s="1097"/>
      <c r="I17" s="1097"/>
      <c r="J17" s="1097"/>
      <c r="K17" s="1097"/>
      <c r="L17" s="1097"/>
      <c r="M17" s="1098"/>
      <c r="N17" s="1099" t="s">
        <v>11</v>
      </c>
      <c r="O17" s="1099"/>
      <c r="P17" s="1034"/>
      <c r="Q17" s="1034"/>
      <c r="R17" s="1034"/>
      <c r="S17" s="1034"/>
      <c r="T17" s="1034"/>
      <c r="U17" s="1034"/>
      <c r="V17" s="1035"/>
      <c r="W17" s="1035"/>
      <c r="X17" s="1036"/>
    </row>
    <row r="18" spans="3:27" ht="17.25" customHeight="1" thickBot="1"/>
    <row r="19" spans="3:27" ht="36.75" customHeight="1">
      <c r="C19" s="1037" t="s">
        <v>12</v>
      </c>
      <c r="D19" s="1038"/>
      <c r="E19" s="258" t="s">
        <v>5728</v>
      </c>
      <c r="F19" s="1003"/>
      <c r="G19" s="259" t="s">
        <v>5713</v>
      </c>
      <c r="H19" s="1083"/>
      <c r="I19" s="1083"/>
      <c r="J19" s="259" t="s">
        <v>5714</v>
      </c>
      <c r="K19" s="1083"/>
      <c r="L19" s="1083"/>
      <c r="M19" s="1001" t="s">
        <v>5717</v>
      </c>
      <c r="N19" s="988"/>
      <c r="O19" s="988"/>
      <c r="P19" s="988"/>
      <c r="Q19" s="988"/>
      <c r="R19" s="988"/>
      <c r="S19" s="988"/>
      <c r="T19" s="988"/>
      <c r="U19" s="988"/>
      <c r="V19" s="988"/>
      <c r="W19" s="988"/>
      <c r="X19" s="989"/>
      <c r="AA19" s="990"/>
    </row>
    <row r="20" spans="3:27" ht="52.5" customHeight="1">
      <c r="C20" s="1039" t="s">
        <v>5712</v>
      </c>
      <c r="D20" s="1040"/>
      <c r="E20" s="1042" t="s">
        <v>16</v>
      </c>
      <c r="F20" s="1043"/>
      <c r="G20" s="1044"/>
      <c r="H20" s="250" t="s">
        <v>5718</v>
      </c>
      <c r="I20" s="251"/>
      <c r="J20" s="253"/>
      <c r="K20" s="251"/>
      <c r="L20" s="253" t="s">
        <v>5720</v>
      </c>
      <c r="M20" s="1009"/>
      <c r="N20" s="253" t="s">
        <v>4839</v>
      </c>
      <c r="O20" s="1009"/>
      <c r="P20" s="253" t="s">
        <v>4835</v>
      </c>
      <c r="Q20" s="253" t="s">
        <v>5716</v>
      </c>
      <c r="R20" s="251"/>
      <c r="S20" s="1002"/>
      <c r="T20" s="251" t="s">
        <v>4843</v>
      </c>
      <c r="U20" s="251"/>
      <c r="V20" s="251"/>
      <c r="W20" s="251"/>
      <c r="X20" s="252"/>
    </row>
    <row r="21" spans="3:27" ht="52.5" customHeight="1">
      <c r="C21" s="1039"/>
      <c r="D21" s="1040"/>
      <c r="E21" s="1045"/>
      <c r="F21" s="1046"/>
      <c r="G21" s="1047"/>
      <c r="H21" s="250" t="s">
        <v>5719</v>
      </c>
      <c r="I21" s="251"/>
      <c r="J21" s="253"/>
      <c r="K21" s="251"/>
      <c r="L21" s="253" t="s">
        <v>5720</v>
      </c>
      <c r="M21" s="1002"/>
      <c r="N21" s="253" t="s">
        <v>4839</v>
      </c>
      <c r="O21" s="1002"/>
      <c r="P21" s="253" t="s">
        <v>4835</v>
      </c>
      <c r="Q21" s="253" t="s">
        <v>5716</v>
      </c>
      <c r="R21" s="251"/>
      <c r="S21" s="1002"/>
      <c r="T21" s="251" t="s">
        <v>4843</v>
      </c>
      <c r="U21" s="253"/>
      <c r="V21" s="251"/>
      <c r="W21" s="251"/>
      <c r="X21" s="252"/>
    </row>
    <row r="22" spans="3:27" ht="35.25" customHeight="1">
      <c r="C22" s="1041"/>
      <c r="D22" s="1040"/>
      <c r="E22" s="1042" t="s">
        <v>4836</v>
      </c>
      <c r="F22" s="1043"/>
      <c r="G22" s="1044"/>
      <c r="H22" s="250" t="s">
        <v>5721</v>
      </c>
      <c r="I22" s="251"/>
      <c r="J22" s="251"/>
      <c r="K22" s="251"/>
      <c r="L22" s="253" t="s">
        <v>5720</v>
      </c>
      <c r="M22" s="1002"/>
      <c r="N22" s="253" t="s">
        <v>4839</v>
      </c>
      <c r="O22" s="1002"/>
      <c r="P22" s="253" t="s">
        <v>4835</v>
      </c>
      <c r="Q22" s="253" t="s">
        <v>5716</v>
      </c>
      <c r="R22" s="251"/>
      <c r="S22" s="1002"/>
      <c r="T22" s="251" t="s">
        <v>4843</v>
      </c>
      <c r="U22" s="251"/>
      <c r="V22" s="251"/>
      <c r="W22" s="251"/>
      <c r="X22" s="252"/>
    </row>
    <row r="23" spans="3:27" ht="35.25" customHeight="1">
      <c r="C23" s="1041"/>
      <c r="D23" s="1040"/>
      <c r="E23" s="1048"/>
      <c r="F23" s="1049"/>
      <c r="G23" s="1050"/>
      <c r="H23" s="250" t="s">
        <v>5722</v>
      </c>
      <c r="I23" s="251"/>
      <c r="J23" s="251"/>
      <c r="K23" s="251"/>
      <c r="L23" s="253" t="s">
        <v>5720</v>
      </c>
      <c r="M23" s="1002"/>
      <c r="N23" s="253" t="s">
        <v>4839</v>
      </c>
      <c r="O23" s="1002"/>
      <c r="P23" s="253" t="s">
        <v>4835</v>
      </c>
      <c r="Q23" s="253" t="s">
        <v>5716</v>
      </c>
      <c r="R23" s="251"/>
      <c r="S23" s="1002"/>
      <c r="T23" s="251" t="s">
        <v>4843</v>
      </c>
      <c r="U23" s="251"/>
      <c r="V23" s="251"/>
      <c r="W23" s="251"/>
      <c r="X23" s="252"/>
    </row>
    <row r="24" spans="3:27" ht="35.25" customHeight="1">
      <c r="C24" s="1041"/>
      <c r="D24" s="1040"/>
      <c r="E24" s="1048"/>
      <c r="F24" s="1049"/>
      <c r="G24" s="1050"/>
      <c r="H24" s="250" t="s">
        <v>5723</v>
      </c>
      <c r="I24" s="251"/>
      <c r="J24" s="251"/>
      <c r="K24" s="253"/>
      <c r="L24" s="253" t="s">
        <v>5720</v>
      </c>
      <c r="M24" s="1002"/>
      <c r="N24" s="253" t="s">
        <v>4839</v>
      </c>
      <c r="O24" s="1002"/>
      <c r="P24" s="253" t="s">
        <v>4835</v>
      </c>
      <c r="Q24" s="253" t="s">
        <v>5716</v>
      </c>
      <c r="R24" s="251"/>
      <c r="S24" s="1002"/>
      <c r="T24" s="251" t="s">
        <v>4843</v>
      </c>
      <c r="U24" s="251"/>
      <c r="V24" s="251"/>
      <c r="W24" s="251"/>
      <c r="X24" s="252"/>
    </row>
    <row r="25" spans="3:27" ht="35.25" customHeight="1">
      <c r="C25" s="1041"/>
      <c r="D25" s="1040"/>
      <c r="E25" s="1045"/>
      <c r="F25" s="1046"/>
      <c r="G25" s="1047"/>
      <c r="H25" s="250" t="s">
        <v>5724</v>
      </c>
      <c r="I25" s="251"/>
      <c r="J25" s="251"/>
      <c r="K25" s="253"/>
      <c r="L25" s="253" t="s">
        <v>5720</v>
      </c>
      <c r="M25" s="1002"/>
      <c r="N25" s="253" t="s">
        <v>4839</v>
      </c>
      <c r="O25" s="1002"/>
      <c r="P25" s="253" t="s">
        <v>4835</v>
      </c>
      <c r="Q25" s="253" t="s">
        <v>5716</v>
      </c>
      <c r="R25" s="251"/>
      <c r="S25" s="1002"/>
      <c r="T25" s="251" t="s">
        <v>4843</v>
      </c>
      <c r="U25" s="251"/>
      <c r="V25" s="251"/>
      <c r="W25" s="251"/>
      <c r="X25" s="252"/>
    </row>
    <row r="26" spans="3:27" ht="35.25" customHeight="1">
      <c r="C26" s="1041"/>
      <c r="D26" s="1040"/>
      <c r="E26" s="1051" t="s">
        <v>4837</v>
      </c>
      <c r="F26" s="1051"/>
      <c r="G26" s="1051"/>
      <c r="H26" s="250" t="s">
        <v>5725</v>
      </c>
      <c r="I26" s="251"/>
      <c r="J26" s="251"/>
      <c r="K26" s="253"/>
      <c r="L26" s="253" t="s">
        <v>5720</v>
      </c>
      <c r="M26" s="1002"/>
      <c r="N26" s="253" t="s">
        <v>4839</v>
      </c>
      <c r="O26" s="1002"/>
      <c r="P26" s="253" t="s">
        <v>4835</v>
      </c>
      <c r="Q26" s="253" t="s">
        <v>5716</v>
      </c>
      <c r="R26" s="251"/>
      <c r="S26" s="1002"/>
      <c r="T26" s="251" t="s">
        <v>4843</v>
      </c>
      <c r="U26" s="251"/>
      <c r="V26" s="251"/>
      <c r="W26" s="251"/>
      <c r="X26" s="252"/>
    </row>
    <row r="27" spans="3:27" ht="37.5" customHeight="1">
      <c r="C27" s="1041"/>
      <c r="D27" s="1040"/>
      <c r="E27" s="1051" t="s">
        <v>17</v>
      </c>
      <c r="F27" s="1051"/>
      <c r="G27" s="1051"/>
      <c r="H27" s="250" t="s">
        <v>5726</v>
      </c>
      <c r="I27" s="251"/>
      <c r="J27" s="251"/>
      <c r="K27" s="251"/>
      <c r="L27" s="253" t="s">
        <v>5720</v>
      </c>
      <c r="M27" s="1002"/>
      <c r="N27" s="253" t="s">
        <v>4839</v>
      </c>
      <c r="O27" s="1002"/>
      <c r="P27" s="253" t="s">
        <v>4835</v>
      </c>
      <c r="Q27" s="253"/>
      <c r="R27" s="251"/>
      <c r="S27" s="251"/>
      <c r="T27" s="251"/>
      <c r="U27" s="251"/>
      <c r="V27" s="251"/>
      <c r="W27" s="251"/>
      <c r="X27" s="252"/>
    </row>
    <row r="28" spans="3:27" ht="42" customHeight="1" thickBot="1">
      <c r="C28" s="1032" t="s">
        <v>14</v>
      </c>
      <c r="D28" s="1033"/>
      <c r="E28" s="1031"/>
      <c r="F28" s="1031"/>
      <c r="G28" s="1031"/>
      <c r="H28" s="1031"/>
      <c r="I28" s="1031"/>
      <c r="J28" s="1031"/>
      <c r="K28" s="1031"/>
      <c r="L28" s="1031"/>
      <c r="M28" s="1031"/>
      <c r="N28" s="1031"/>
      <c r="O28" s="1011" t="s">
        <v>15</v>
      </c>
      <c r="P28" s="1012"/>
      <c r="Q28" s="1016"/>
      <c r="R28" s="1017"/>
      <c r="S28" s="1017"/>
      <c r="T28" s="1017"/>
      <c r="U28" s="1093" t="s">
        <v>1</v>
      </c>
      <c r="V28" s="1093"/>
      <c r="W28" s="1093"/>
      <c r="X28" s="1093"/>
      <c r="Y28" s="991"/>
    </row>
    <row r="29" spans="3:27" ht="26.25" customHeight="1">
      <c r="C29" s="1006" t="s">
        <v>5729</v>
      </c>
      <c r="D29" s="254"/>
      <c r="E29" s="992"/>
      <c r="F29" s="992"/>
      <c r="G29" s="992"/>
      <c r="H29" s="992"/>
      <c r="I29" s="992"/>
      <c r="J29" s="992"/>
      <c r="K29" s="992"/>
      <c r="L29" s="992"/>
      <c r="M29" s="992"/>
      <c r="N29" s="992"/>
      <c r="O29" s="254"/>
      <c r="P29" s="254"/>
      <c r="Q29" s="255"/>
      <c r="R29" s="255"/>
      <c r="S29" s="255"/>
      <c r="T29" s="255"/>
      <c r="U29" s="287"/>
      <c r="V29" s="287"/>
      <c r="W29" s="287"/>
      <c r="X29" s="287"/>
      <c r="Y29" s="981"/>
    </row>
    <row r="30" spans="3:27" ht="22.5" customHeight="1">
      <c r="C30" s="979"/>
      <c r="D30" s="979"/>
      <c r="E30" s="979"/>
      <c r="F30" s="979"/>
      <c r="G30" s="979"/>
      <c r="H30" s="979"/>
      <c r="I30" s="979"/>
      <c r="J30" s="979"/>
      <c r="K30" s="979"/>
      <c r="L30" s="979"/>
      <c r="M30" s="979"/>
      <c r="N30" s="979"/>
      <c r="O30" s="979"/>
      <c r="P30" s="979"/>
      <c r="Q30" s="979"/>
      <c r="R30" s="979"/>
      <c r="S30" s="979"/>
      <c r="T30" s="979"/>
      <c r="U30" s="979"/>
      <c r="V30" s="979"/>
      <c r="W30" s="979"/>
      <c r="X30" s="979"/>
    </row>
    <row r="31" spans="3:27" ht="22.5" customHeight="1">
      <c r="C31" s="993"/>
      <c r="D31" s="993"/>
      <c r="E31" s="993"/>
      <c r="F31" s="993"/>
      <c r="G31" s="993"/>
      <c r="H31" s="993"/>
      <c r="I31" s="993"/>
      <c r="J31" s="993"/>
      <c r="K31" s="993"/>
      <c r="L31" s="993"/>
      <c r="M31" s="993"/>
      <c r="N31" s="993"/>
      <c r="O31" s="993"/>
      <c r="P31" s="993"/>
      <c r="Q31" s="993"/>
      <c r="R31" s="993"/>
      <c r="S31" s="993"/>
      <c r="T31" s="993"/>
      <c r="U31" s="993"/>
      <c r="V31" s="993"/>
      <c r="W31" s="993"/>
      <c r="X31" s="993"/>
    </row>
    <row r="32" spans="3:27" ht="30" customHeight="1">
      <c r="C32" s="248" t="s">
        <v>18</v>
      </c>
      <c r="D32" s="248"/>
      <c r="E32" s="286" t="s">
        <v>5732</v>
      </c>
      <c r="F32" s="1007" t="s">
        <v>5731</v>
      </c>
      <c r="G32" s="248"/>
      <c r="H32" s="248"/>
      <c r="I32" s="248" t="s">
        <v>19</v>
      </c>
      <c r="J32" s="248"/>
      <c r="K32" s="248"/>
      <c r="L32" s="248"/>
      <c r="M32" s="248"/>
      <c r="N32" s="248"/>
      <c r="O32" s="248"/>
      <c r="P32" s="248"/>
      <c r="Q32" s="248"/>
      <c r="R32" s="248"/>
      <c r="S32" s="248"/>
    </row>
    <row r="33" spans="3:24" ht="30" customHeight="1">
      <c r="C33" s="248"/>
      <c r="D33" s="248"/>
      <c r="E33" s="286" t="s">
        <v>5732</v>
      </c>
      <c r="F33" s="1007" t="s">
        <v>5730</v>
      </c>
      <c r="G33" s="248"/>
      <c r="H33" s="248"/>
      <c r="I33" s="248"/>
      <c r="J33" s="248"/>
      <c r="K33" s="248"/>
      <c r="L33" s="248"/>
      <c r="M33" s="248"/>
      <c r="N33" s="248"/>
      <c r="O33" s="248"/>
      <c r="P33" s="248"/>
      <c r="Q33" s="248"/>
      <c r="R33" s="248"/>
      <c r="S33" s="248"/>
    </row>
    <row r="34" spans="3:24" ht="3.75" customHeight="1">
      <c r="C34" s="248"/>
      <c r="D34" s="248"/>
      <c r="E34" s="248"/>
      <c r="F34" s="248"/>
      <c r="G34" s="248"/>
      <c r="H34" s="248"/>
      <c r="I34" s="248"/>
      <c r="J34" s="248"/>
      <c r="K34" s="248"/>
      <c r="L34" s="248"/>
      <c r="M34" s="248"/>
      <c r="N34" s="248"/>
      <c r="O34" s="248"/>
      <c r="P34" s="248"/>
      <c r="Q34" s="248"/>
      <c r="R34" s="248"/>
      <c r="S34" s="248"/>
    </row>
    <row r="35" spans="3:24" ht="22.5" customHeight="1">
      <c r="C35" s="248"/>
      <c r="D35" s="248"/>
      <c r="E35" s="248"/>
      <c r="F35" s="248"/>
      <c r="G35" s="248"/>
      <c r="H35" s="248"/>
      <c r="I35" s="248" t="s">
        <v>20</v>
      </c>
      <c r="J35" s="248"/>
      <c r="K35" s="248"/>
      <c r="L35" s="248"/>
      <c r="M35" s="248"/>
      <c r="N35" s="248"/>
      <c r="O35" s="248"/>
      <c r="P35" s="248"/>
      <c r="Q35" s="248"/>
      <c r="R35" s="248"/>
      <c r="S35" s="248"/>
    </row>
    <row r="36" spans="3:24" ht="12.75" customHeight="1"/>
    <row r="37" spans="3:24" ht="22.5" customHeight="1">
      <c r="C37" s="248" t="s">
        <v>5704</v>
      </c>
    </row>
    <row r="38" spans="3:24" ht="37.5" customHeight="1" thickBot="1">
      <c r="C38" s="1024" t="s">
        <v>21</v>
      </c>
      <c r="D38" s="1025"/>
      <c r="E38" s="1080" t="s">
        <v>5734</v>
      </c>
      <c r="F38" s="1081"/>
      <c r="G38" s="1081"/>
      <c r="H38" s="1081"/>
      <c r="I38" s="1081"/>
      <c r="J38" s="1081"/>
      <c r="K38" s="1081"/>
      <c r="L38" s="1081"/>
      <c r="M38" s="1010"/>
      <c r="N38" s="994"/>
      <c r="O38" s="1019"/>
      <c r="P38" s="1019"/>
      <c r="Q38" s="1019"/>
      <c r="R38" s="1019"/>
      <c r="S38" s="1019"/>
      <c r="T38" s="1019"/>
      <c r="U38" s="1019"/>
      <c r="V38" s="1019"/>
      <c r="W38" s="1019"/>
      <c r="X38" s="1020"/>
    </row>
    <row r="39" spans="3:24" ht="37.5" customHeight="1" thickTop="1" thickBot="1">
      <c r="C39" s="1024" t="s">
        <v>2</v>
      </c>
      <c r="D39" s="1025"/>
      <c r="E39" s="288" t="s">
        <v>4842</v>
      </c>
      <c r="F39" s="1026"/>
      <c r="G39" s="1027"/>
      <c r="H39" s="1027"/>
      <c r="I39" s="1028"/>
      <c r="J39" s="253" t="s">
        <v>7</v>
      </c>
      <c r="K39" s="1029"/>
      <c r="L39" s="1029"/>
      <c r="M39" s="1029"/>
      <c r="N39" s="1029"/>
      <c r="O39" s="1029"/>
      <c r="P39" s="1029"/>
      <c r="Q39" s="1029"/>
      <c r="R39" s="1029"/>
      <c r="S39" s="1029"/>
      <c r="T39" s="1029"/>
      <c r="U39" s="1029"/>
      <c r="V39" s="1029"/>
      <c r="W39" s="1029"/>
      <c r="X39" s="1030"/>
    </row>
    <row r="40" spans="3:24" ht="26.25" customHeight="1" thickTop="1">
      <c r="C40" s="1004" t="s">
        <v>4655</v>
      </c>
      <c r="D40" s="995"/>
      <c r="E40" s="995"/>
      <c r="F40" s="1008"/>
      <c r="G40" s="1008"/>
      <c r="H40" s="1008"/>
      <c r="I40" s="1008"/>
      <c r="J40" s="995"/>
      <c r="K40" s="996"/>
      <c r="L40" s="996"/>
      <c r="M40" s="996"/>
      <c r="N40" s="996"/>
      <c r="O40" s="996"/>
      <c r="P40" s="996"/>
      <c r="Q40" s="996"/>
      <c r="R40" s="996"/>
      <c r="S40" s="996"/>
      <c r="T40" s="996"/>
      <c r="U40" s="996"/>
      <c r="V40" s="996"/>
      <c r="W40" s="996"/>
      <c r="X40" s="997"/>
    </row>
    <row r="41" spans="3:24" ht="26.25" customHeight="1">
      <c r="C41" s="1005" t="str">
        <f>IF(E12="","　　※振込先は請求書に記載","　　※委員会事業は年度末に仮払精算にて戻入してください。")</f>
        <v>　　※振込先は請求書に記載</v>
      </c>
      <c r="D41" s="998"/>
      <c r="E41" s="998"/>
      <c r="F41" s="998"/>
      <c r="G41" s="998"/>
      <c r="H41" s="998"/>
      <c r="I41" s="998"/>
      <c r="J41" s="998"/>
      <c r="K41" s="998"/>
      <c r="L41" s="998"/>
      <c r="M41" s="998"/>
      <c r="N41" s="998"/>
      <c r="O41" s="998"/>
      <c r="P41" s="998"/>
      <c r="Q41" s="998"/>
      <c r="R41" s="998"/>
      <c r="S41" s="998"/>
      <c r="T41" s="998"/>
      <c r="U41" s="998"/>
      <c r="V41" s="998"/>
      <c r="W41" s="998"/>
      <c r="X41" s="999"/>
    </row>
    <row r="42" spans="3:24" ht="22.5" customHeight="1">
      <c r="C42" s="1018" t="s">
        <v>3</v>
      </c>
      <c r="D42" s="1019"/>
      <c r="E42" s="1019"/>
      <c r="F42" s="1019"/>
      <c r="G42" s="1019"/>
      <c r="H42" s="1019"/>
      <c r="I42" s="1019"/>
      <c r="J42" s="1019"/>
      <c r="K42" s="1019"/>
      <c r="L42" s="1019"/>
      <c r="M42" s="1019"/>
      <c r="N42" s="1019"/>
      <c r="O42" s="1019"/>
      <c r="P42" s="1019"/>
      <c r="Q42" s="1019"/>
      <c r="R42" s="1019"/>
      <c r="S42" s="1019"/>
      <c r="T42" s="1019"/>
      <c r="U42" s="1019"/>
      <c r="V42" s="1019"/>
      <c r="W42" s="1019"/>
      <c r="X42" s="1020"/>
    </row>
    <row r="43" spans="3:24" ht="52.5" customHeight="1">
      <c r="C43" s="1021"/>
      <c r="D43" s="1022"/>
      <c r="E43" s="1022"/>
      <c r="F43" s="1022"/>
      <c r="G43" s="1022"/>
      <c r="H43" s="1022"/>
      <c r="I43" s="1022"/>
      <c r="J43" s="1022"/>
      <c r="K43" s="1022"/>
      <c r="L43" s="1022"/>
      <c r="M43" s="1022"/>
      <c r="N43" s="1022"/>
      <c r="O43" s="1022"/>
      <c r="P43" s="1022"/>
      <c r="Q43" s="1022"/>
      <c r="R43" s="1022"/>
      <c r="S43" s="1022"/>
      <c r="T43" s="1022"/>
      <c r="U43" s="1022"/>
      <c r="V43" s="1022"/>
      <c r="W43" s="1022"/>
      <c r="X43" s="1023"/>
    </row>
    <row r="44" spans="3:24" ht="9.75" customHeight="1"/>
    <row r="45" spans="3:24" ht="20.25" customHeight="1">
      <c r="C45" s="248" t="s">
        <v>4656</v>
      </c>
      <c r="D45" s="248"/>
      <c r="E45" s="248"/>
      <c r="F45" s="248"/>
      <c r="G45" s="248"/>
      <c r="H45" s="248"/>
    </row>
    <row r="46" spans="3:24" ht="23.25" customHeight="1">
      <c r="C46" s="248" t="s">
        <v>22</v>
      </c>
      <c r="D46" s="248"/>
      <c r="E46" s="248"/>
      <c r="F46" s="248"/>
      <c r="G46" s="248"/>
      <c r="H46" s="248"/>
    </row>
    <row r="47" spans="3:24" ht="23.25" customHeight="1">
      <c r="C47" s="248" t="s">
        <v>8</v>
      </c>
      <c r="D47" s="248"/>
      <c r="E47" s="248"/>
      <c r="F47" s="248"/>
      <c r="G47" s="248"/>
      <c r="H47" s="248"/>
    </row>
    <row r="48" spans="3:24" ht="23.25" customHeight="1">
      <c r="C48" s="248" t="s">
        <v>4654</v>
      </c>
      <c r="D48" s="248"/>
      <c r="E48" s="248"/>
      <c r="F48" s="248"/>
      <c r="G48" s="248"/>
      <c r="H48" s="248"/>
    </row>
    <row r="49" spans="3:24" ht="17.25" customHeight="1">
      <c r="C49" s="248"/>
      <c r="D49" s="248"/>
      <c r="E49" s="248"/>
      <c r="F49" s="248"/>
      <c r="G49" s="248"/>
      <c r="H49" s="248"/>
    </row>
    <row r="50" spans="3:24" ht="21" customHeight="1">
      <c r="C50" s="248" t="s">
        <v>5715</v>
      </c>
      <c r="D50" s="248"/>
      <c r="E50" s="248"/>
      <c r="F50" s="248"/>
      <c r="G50" s="248"/>
      <c r="H50" s="248"/>
    </row>
    <row r="51" spans="3:24" ht="21" customHeight="1">
      <c r="C51" s="248" t="s">
        <v>5707</v>
      </c>
      <c r="D51" s="248"/>
      <c r="E51" s="248"/>
      <c r="F51" s="248"/>
      <c r="G51" s="248" t="s">
        <v>5708</v>
      </c>
      <c r="H51" s="248"/>
    </row>
    <row r="52" spans="3:24" ht="21" customHeight="1">
      <c r="C52" s="248" t="s">
        <v>5705</v>
      </c>
      <c r="D52" s="248"/>
      <c r="E52" s="248"/>
      <c r="F52" s="248"/>
      <c r="G52" s="248" t="s">
        <v>5706</v>
      </c>
      <c r="H52" s="248"/>
      <c r="S52" s="981"/>
      <c r="T52" s="981"/>
      <c r="U52" s="981"/>
      <c r="V52" s="981"/>
      <c r="W52" s="981"/>
      <c r="X52" s="981"/>
    </row>
    <row r="53" spans="3:24" ht="30" customHeight="1">
      <c r="S53" s="255"/>
      <c r="T53" s="255"/>
      <c r="U53" s="255"/>
      <c r="V53" s="255"/>
      <c r="W53" s="255"/>
      <c r="X53" s="255"/>
    </row>
    <row r="54" spans="3:24" ht="30" customHeight="1">
      <c r="O54" s="1015"/>
      <c r="P54" s="1015"/>
      <c r="Q54" s="1013" t="s">
        <v>4659</v>
      </c>
      <c r="R54" s="1013"/>
      <c r="S54" s="1013"/>
      <c r="T54" s="1013"/>
      <c r="U54" s="1013"/>
      <c r="V54" s="1013"/>
      <c r="W54" s="1013"/>
      <c r="X54" s="1014"/>
    </row>
    <row r="55" spans="3:24" ht="24" hidden="1" customHeight="1">
      <c r="S55" s="255"/>
      <c r="T55" s="255"/>
      <c r="U55" s="255"/>
      <c r="V55" s="255"/>
      <c r="W55" s="255"/>
      <c r="X55" s="255"/>
    </row>
    <row r="56" spans="3:24" ht="9" customHeight="1">
      <c r="S56" s="981"/>
      <c r="T56" s="981"/>
      <c r="U56" s="981"/>
      <c r="V56" s="981"/>
      <c r="W56" s="981"/>
      <c r="X56" s="981"/>
    </row>
  </sheetData>
  <sheetProtection algorithmName="SHA-512" hashValue="IzSzxSc9RsGzO0stU+DX8bqzAjAa4BfsB4zPFhrWYWDlP85d/QHhUNOUg7CQVqHdJ4iOVlM4074DMFGC4Fz4fQ==" saltValue="jTBVWlZEKhhAHOmnDXWQlw==" spinCount="100000" sheet="1"/>
  <mergeCells count="50">
    <mergeCell ref="C15:D15"/>
    <mergeCell ref="C16:D16"/>
    <mergeCell ref="E16:M16"/>
    <mergeCell ref="N16:O16"/>
    <mergeCell ref="P16:X16"/>
    <mergeCell ref="E15:X15"/>
    <mergeCell ref="G1:H1"/>
    <mergeCell ref="S5:X5"/>
    <mergeCell ref="A10:A14"/>
    <mergeCell ref="B10:B14"/>
    <mergeCell ref="C10:D10"/>
    <mergeCell ref="H10:X10"/>
    <mergeCell ref="C12:D12"/>
    <mergeCell ref="C11:X11"/>
    <mergeCell ref="E10:G10"/>
    <mergeCell ref="C14:D14"/>
    <mergeCell ref="E14:X14"/>
    <mergeCell ref="E12:G12"/>
    <mergeCell ref="C13:X13"/>
    <mergeCell ref="H12:N12"/>
    <mergeCell ref="O12:X12"/>
    <mergeCell ref="C2:S2"/>
    <mergeCell ref="P17:X17"/>
    <mergeCell ref="C19:D19"/>
    <mergeCell ref="C20:D27"/>
    <mergeCell ref="E20:G21"/>
    <mergeCell ref="E22:G25"/>
    <mergeCell ref="E26:G26"/>
    <mergeCell ref="E27:G27"/>
    <mergeCell ref="H19:I19"/>
    <mergeCell ref="K19:L19"/>
    <mergeCell ref="C17:D17"/>
    <mergeCell ref="E17:M17"/>
    <mergeCell ref="N17:O17"/>
    <mergeCell ref="O28:P28"/>
    <mergeCell ref="Q54:X54"/>
    <mergeCell ref="O54:P54"/>
    <mergeCell ref="Q28:T28"/>
    <mergeCell ref="C42:D42"/>
    <mergeCell ref="E42:X42"/>
    <mergeCell ref="C43:X43"/>
    <mergeCell ref="C39:D39"/>
    <mergeCell ref="C38:D38"/>
    <mergeCell ref="F39:I39"/>
    <mergeCell ref="K39:X39"/>
    <mergeCell ref="E28:N28"/>
    <mergeCell ref="C28:D28"/>
    <mergeCell ref="O38:X38"/>
    <mergeCell ref="E38:L38"/>
    <mergeCell ref="U28:X28"/>
  </mergeCells>
  <phoneticPr fontId="3"/>
  <conditionalFormatting sqref="R7:S7 P16:X17 E15:X15 G19:H19">
    <cfRule type="cellIs" dxfId="77" priority="48" stopIfTrue="1" operator="equal">
      <formula>""</formula>
    </cfRule>
  </conditionalFormatting>
  <conditionalFormatting sqref="J19:K19">
    <cfRule type="cellIs" dxfId="76" priority="47" stopIfTrue="1" operator="equal">
      <formula>""</formula>
    </cfRule>
  </conditionalFormatting>
  <conditionalFormatting sqref="E16:M16">
    <cfRule type="cellIs" dxfId="75" priority="45" stopIfTrue="1" operator="equal">
      <formula>""</formula>
    </cfRule>
  </conditionalFormatting>
  <conditionalFormatting sqref="E17:M17">
    <cfRule type="cellIs" dxfId="74" priority="43" stopIfTrue="1" operator="equal">
      <formula>""</formula>
    </cfRule>
  </conditionalFormatting>
  <conditionalFormatting sqref="Q28">
    <cfRule type="cellIs" dxfId="73" priority="39" stopIfTrue="1" operator="equal">
      <formula>""</formula>
    </cfRule>
  </conditionalFormatting>
  <conditionalFormatting sqref="E28:N28">
    <cfRule type="cellIs" dxfId="72" priority="38" stopIfTrue="1" operator="equal">
      <formula>""</formula>
    </cfRule>
  </conditionalFormatting>
  <conditionalFormatting sqref="M20:M27">
    <cfRule type="cellIs" dxfId="71" priority="36" stopIfTrue="1" operator="equal">
      <formula>""</formula>
    </cfRule>
  </conditionalFormatting>
  <conditionalFormatting sqref="U7 W7">
    <cfRule type="cellIs" dxfId="70" priority="34" stopIfTrue="1" operator="equal">
      <formula>""</formula>
    </cfRule>
  </conditionalFormatting>
  <conditionalFormatting sqref="S20:S26">
    <cfRule type="cellIs" dxfId="69" priority="32" stopIfTrue="1" operator="equal">
      <formula>""</formula>
    </cfRule>
  </conditionalFormatting>
  <conditionalFormatting sqref="E14:X14">
    <cfRule type="expression" dxfId="68" priority="1">
      <formula>$E$10="*"</formula>
    </cfRule>
    <cfRule type="expression" dxfId="67" priority="30" stopIfTrue="1">
      <formula>$E$10="＊"</formula>
    </cfRule>
    <cfRule type="expression" dxfId="66" priority="138" stopIfTrue="1">
      <formula>$E$12&lt;&gt;""</formula>
    </cfRule>
    <cfRule type="expression" dxfId="65" priority="139" stopIfTrue="1">
      <formula>$E$10&lt;&gt;""</formula>
    </cfRule>
  </conditionalFormatting>
  <conditionalFormatting sqref="O20:O27">
    <cfRule type="cellIs" dxfId="64" priority="24" operator="equal">
      <formula>""</formula>
    </cfRule>
  </conditionalFormatting>
  <conditionalFormatting sqref="F19">
    <cfRule type="cellIs" dxfId="63" priority="23" operator="equal">
      <formula>""</formula>
    </cfRule>
  </conditionalFormatting>
  <conditionalFormatting sqref="H12 O12">
    <cfRule type="expression" dxfId="62" priority="13">
      <formula>$E$14&lt;&gt;""</formula>
    </cfRule>
    <cfRule type="expression" dxfId="61" priority="14">
      <formula>$E$10&lt;&gt;""</formula>
    </cfRule>
    <cfRule type="expression" dxfId="60" priority="15">
      <formula>$E$12=""</formula>
    </cfRule>
  </conditionalFormatting>
  <conditionalFormatting sqref="E10">
    <cfRule type="expression" dxfId="59" priority="8" stopIfTrue="1">
      <formula>$E$12&lt;&gt;""</formula>
    </cfRule>
  </conditionalFormatting>
  <conditionalFormatting sqref="E12:G12">
    <cfRule type="expression" dxfId="58" priority="2">
      <formula>$E$14&lt;&gt;""</formula>
    </cfRule>
    <cfRule type="cellIs" dxfId="57" priority="6" stopIfTrue="1" operator="equal">
      <formula>$E$14=""</formula>
    </cfRule>
    <cfRule type="expression" dxfId="56" priority="7" stopIfTrue="1">
      <formula>$E$10&lt;&gt;""</formula>
    </cfRule>
  </conditionalFormatting>
  <conditionalFormatting sqref="H10:X10">
    <cfRule type="expression" dxfId="55" priority="3" stopIfTrue="1">
      <formula>$E$12&lt;&gt;""</formula>
    </cfRule>
    <cfRule type="expression" dxfId="54" priority="4" stopIfTrue="1">
      <formula>$E$10="*"</formula>
    </cfRule>
    <cfRule type="expression" dxfId="53" priority="5" stopIfTrue="1">
      <formula>$E$10=""</formula>
    </cfRule>
  </conditionalFormatting>
  <printOptions horizontalCentered="1" verticalCentered="1"/>
  <pageMargins left="0.11811023622047245" right="0.11811023622047245" top="0.11811023622047245" bottom="0.11811023622047245" header="0.11811023622047245" footer="0.19685039370078741"/>
  <pageSetup paperSize="9" scale="57" orientation="portrait" horizontalDpi="300" verticalDpi="300" r:id="rId1"/>
  <headerFooter alignWithMargins="0"/>
  <rowBreaks count="1" manualBreakCount="1">
    <brk id="55" max="26"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89F395-9D4F-4892-9B91-F3114AA0AD0B}">
  <dimension ref="A2:I1612"/>
  <sheetViews>
    <sheetView topLeftCell="A1184" workbookViewId="0">
      <selection activeCell="A1212" sqref="A1212:XFD1212"/>
    </sheetView>
  </sheetViews>
  <sheetFormatPr defaultColWidth="9" defaultRowHeight="13.2"/>
  <cols>
    <col min="1" max="16384" width="9" style="289"/>
  </cols>
  <sheetData>
    <row r="2" spans="1:9">
      <c r="A2" s="289" t="s">
        <v>23</v>
      </c>
      <c r="B2" s="289" t="s">
        <v>24</v>
      </c>
      <c r="C2" s="289" t="s">
        <v>25</v>
      </c>
      <c r="D2" s="289" t="s">
        <v>26</v>
      </c>
      <c r="E2" s="289" t="s">
        <v>27</v>
      </c>
      <c r="F2" s="289" t="s">
        <v>28</v>
      </c>
      <c r="I2" s="289" t="s">
        <v>23</v>
      </c>
    </row>
    <row r="3" spans="1:9">
      <c r="A3" s="290">
        <v>33</v>
      </c>
      <c r="B3" s="289" t="s">
        <v>29</v>
      </c>
      <c r="C3" s="289" t="s">
        <v>30</v>
      </c>
      <c r="D3" s="289" t="s">
        <v>31</v>
      </c>
      <c r="E3" s="289" t="s">
        <v>32</v>
      </c>
      <c r="F3" s="289" t="s">
        <v>33</v>
      </c>
      <c r="I3" s="289" t="str">
        <f>("0000033")</f>
        <v>0000033</v>
      </c>
    </row>
    <row r="4" spans="1:9">
      <c r="A4" s="290">
        <v>48079</v>
      </c>
      <c r="B4" s="289" t="s">
        <v>34</v>
      </c>
      <c r="C4" s="289" t="s">
        <v>35</v>
      </c>
      <c r="D4" s="289" t="s">
        <v>36</v>
      </c>
      <c r="E4" s="289" t="s">
        <v>37</v>
      </c>
      <c r="F4" s="289" t="s">
        <v>38</v>
      </c>
      <c r="I4" s="289" t="str">
        <f>("0048079")</f>
        <v>0048079</v>
      </c>
    </row>
    <row r="5" spans="1:9">
      <c r="A5" s="290">
        <v>48136</v>
      </c>
      <c r="B5" s="289" t="s">
        <v>34</v>
      </c>
      <c r="C5" s="289" t="s">
        <v>35</v>
      </c>
      <c r="D5" s="289" t="s">
        <v>39</v>
      </c>
      <c r="E5" s="289" t="s">
        <v>40</v>
      </c>
      <c r="F5" s="289" t="s">
        <v>41</v>
      </c>
      <c r="I5" s="289" t="str">
        <f>("0048136")</f>
        <v>0048136</v>
      </c>
    </row>
    <row r="6" spans="1:9">
      <c r="A6" s="290">
        <v>48147</v>
      </c>
      <c r="B6" s="289" t="s">
        <v>34</v>
      </c>
      <c r="C6" s="289" t="s">
        <v>35</v>
      </c>
      <c r="D6" s="289" t="s">
        <v>42</v>
      </c>
      <c r="E6" s="289" t="s">
        <v>43</v>
      </c>
      <c r="F6" s="289" t="s">
        <v>44</v>
      </c>
      <c r="I6" s="289" t="str">
        <f>("0048147")</f>
        <v>0048147</v>
      </c>
    </row>
    <row r="7" spans="1:9">
      <c r="A7" s="290">
        <v>50915</v>
      </c>
      <c r="B7" s="289" t="s">
        <v>34</v>
      </c>
      <c r="C7" s="289" t="s">
        <v>35</v>
      </c>
      <c r="D7" s="289" t="s">
        <v>45</v>
      </c>
      <c r="E7" s="289" t="s">
        <v>46</v>
      </c>
      <c r="F7" s="289" t="s">
        <v>47</v>
      </c>
      <c r="I7" s="289" t="str">
        <f>("0050915")</f>
        <v>0050915</v>
      </c>
    </row>
    <row r="8" spans="1:9">
      <c r="A8" s="290">
        <v>51107</v>
      </c>
      <c r="B8" s="289" t="s">
        <v>34</v>
      </c>
      <c r="C8" s="289" t="s">
        <v>35</v>
      </c>
      <c r="D8" s="289" t="s">
        <v>48</v>
      </c>
      <c r="E8" s="289" t="s">
        <v>49</v>
      </c>
      <c r="F8" s="289" t="s">
        <v>50</v>
      </c>
      <c r="I8" s="289" t="str">
        <f>("0051107")</f>
        <v>0051107</v>
      </c>
    </row>
    <row r="9" spans="1:9">
      <c r="A9" s="290">
        <v>51118</v>
      </c>
      <c r="B9" s="289" t="s">
        <v>34</v>
      </c>
      <c r="C9" s="289" t="s">
        <v>35</v>
      </c>
      <c r="D9" s="289" t="s">
        <v>4846</v>
      </c>
      <c r="E9" s="289" t="s">
        <v>4847</v>
      </c>
      <c r="F9" s="289" t="s">
        <v>4848</v>
      </c>
      <c r="I9" s="289" t="str">
        <f>("0051118")</f>
        <v>0051118</v>
      </c>
    </row>
    <row r="10" spans="1:9">
      <c r="A10" s="290">
        <v>51129</v>
      </c>
      <c r="B10" s="289" t="s">
        <v>34</v>
      </c>
      <c r="C10" s="289" t="s">
        <v>35</v>
      </c>
      <c r="D10" s="289" t="s">
        <v>51</v>
      </c>
      <c r="E10" s="289" t="s">
        <v>52</v>
      </c>
      <c r="F10" s="289" t="s">
        <v>53</v>
      </c>
      <c r="I10" s="289" t="str">
        <f>("0051129")</f>
        <v>0051129</v>
      </c>
    </row>
    <row r="11" spans="1:9">
      <c r="A11" s="290">
        <v>51152</v>
      </c>
      <c r="B11" s="289" t="s">
        <v>34</v>
      </c>
      <c r="C11" s="289" t="s">
        <v>35</v>
      </c>
      <c r="D11" s="289" t="s">
        <v>54</v>
      </c>
      <c r="E11" s="289" t="s">
        <v>55</v>
      </c>
      <c r="F11" s="289" t="s">
        <v>56</v>
      </c>
      <c r="I11" s="289" t="str">
        <f>("0051152")</f>
        <v>0051152</v>
      </c>
    </row>
    <row r="12" spans="1:9">
      <c r="A12" s="290">
        <v>51196</v>
      </c>
      <c r="B12" s="289" t="s">
        <v>34</v>
      </c>
      <c r="C12" s="289" t="s">
        <v>35</v>
      </c>
      <c r="D12" s="289" t="s">
        <v>57</v>
      </c>
      <c r="E12" s="289" t="s">
        <v>58</v>
      </c>
      <c r="F12" s="289" t="s">
        <v>59</v>
      </c>
      <c r="I12" s="289" t="str">
        <f>("0051196")</f>
        <v>0051196</v>
      </c>
    </row>
    <row r="13" spans="1:9">
      <c r="A13" s="290">
        <v>51264</v>
      </c>
      <c r="B13" s="289" t="s">
        <v>34</v>
      </c>
      <c r="C13" s="289" t="s">
        <v>35</v>
      </c>
      <c r="D13" s="289" t="s">
        <v>60</v>
      </c>
      <c r="E13" s="289" t="s">
        <v>60</v>
      </c>
      <c r="F13" s="289" t="s">
        <v>61</v>
      </c>
      <c r="I13" s="289" t="str">
        <f>("0051264")</f>
        <v>0051264</v>
      </c>
    </row>
    <row r="14" spans="1:9">
      <c r="A14" s="290">
        <v>51332</v>
      </c>
      <c r="B14" s="289" t="s">
        <v>34</v>
      </c>
      <c r="C14" s="289" t="s">
        <v>35</v>
      </c>
      <c r="D14" s="289" t="s">
        <v>62</v>
      </c>
      <c r="E14" s="289" t="s">
        <v>63</v>
      </c>
      <c r="F14" s="289" t="s">
        <v>64</v>
      </c>
      <c r="I14" s="289" t="str">
        <f>("0051332")</f>
        <v>0051332</v>
      </c>
    </row>
    <row r="15" spans="1:9">
      <c r="A15" s="290">
        <v>51365</v>
      </c>
      <c r="B15" s="289" t="s">
        <v>34</v>
      </c>
      <c r="C15" s="289" t="s">
        <v>35</v>
      </c>
      <c r="D15" s="289" t="s">
        <v>65</v>
      </c>
      <c r="E15" s="289" t="s">
        <v>66</v>
      </c>
      <c r="F15" s="289" t="s">
        <v>67</v>
      </c>
      <c r="I15" s="289" t="str">
        <f>("0051365")</f>
        <v>0051365</v>
      </c>
    </row>
    <row r="16" spans="1:9">
      <c r="A16" s="290">
        <v>51433</v>
      </c>
      <c r="B16" s="289" t="s">
        <v>34</v>
      </c>
      <c r="C16" s="289" t="s">
        <v>35</v>
      </c>
      <c r="D16" s="289" t="s">
        <v>68</v>
      </c>
      <c r="E16" s="289" t="s">
        <v>69</v>
      </c>
      <c r="F16" s="289" t="s">
        <v>70</v>
      </c>
      <c r="I16" s="289" t="str">
        <f>("0051433")</f>
        <v>0051433</v>
      </c>
    </row>
    <row r="17" spans="1:9">
      <c r="A17" s="290">
        <v>51488</v>
      </c>
      <c r="B17" s="289" t="s">
        <v>34</v>
      </c>
      <c r="C17" s="289" t="s">
        <v>35</v>
      </c>
      <c r="D17" s="289" t="s">
        <v>71</v>
      </c>
      <c r="E17" s="289" t="s">
        <v>72</v>
      </c>
      <c r="F17" s="289" t="s">
        <v>73</v>
      </c>
      <c r="I17" s="289" t="str">
        <f>("0051488")</f>
        <v>0051488</v>
      </c>
    </row>
    <row r="18" spans="1:9">
      <c r="A18" s="290">
        <v>51545</v>
      </c>
      <c r="B18" s="289" t="s">
        <v>34</v>
      </c>
      <c r="C18" s="289" t="s">
        <v>35</v>
      </c>
      <c r="D18" s="289" t="s">
        <v>74</v>
      </c>
      <c r="E18" s="289" t="s">
        <v>75</v>
      </c>
      <c r="F18" s="289" t="s">
        <v>76</v>
      </c>
      <c r="I18" s="289" t="str">
        <f>("0051545")</f>
        <v>0051545</v>
      </c>
    </row>
    <row r="19" spans="1:9">
      <c r="A19" s="290">
        <v>51679</v>
      </c>
      <c r="B19" s="289" t="s">
        <v>34</v>
      </c>
      <c r="C19" s="289" t="s">
        <v>35</v>
      </c>
      <c r="D19" s="289" t="s">
        <v>77</v>
      </c>
      <c r="E19" s="289" t="s">
        <v>78</v>
      </c>
      <c r="F19" s="289" t="s">
        <v>79</v>
      </c>
      <c r="I19" s="289" t="str">
        <f>("0051679")</f>
        <v>0051679</v>
      </c>
    </row>
    <row r="20" spans="1:9">
      <c r="A20" s="290">
        <v>51859</v>
      </c>
      <c r="B20" s="289" t="s">
        <v>34</v>
      </c>
      <c r="C20" s="289" t="s">
        <v>35</v>
      </c>
      <c r="D20" s="289" t="s">
        <v>80</v>
      </c>
      <c r="E20" s="289" t="s">
        <v>81</v>
      </c>
      <c r="F20" s="289" t="s">
        <v>82</v>
      </c>
      <c r="I20" s="289" t="str">
        <f>("0051859")</f>
        <v>0051859</v>
      </c>
    </row>
    <row r="21" spans="1:9">
      <c r="A21" s="290">
        <v>51860</v>
      </c>
      <c r="B21" s="289" t="s">
        <v>34</v>
      </c>
      <c r="C21" s="289" t="s">
        <v>35</v>
      </c>
      <c r="D21" s="289" t="s">
        <v>83</v>
      </c>
      <c r="E21" s="289" t="s">
        <v>84</v>
      </c>
      <c r="F21" s="289" t="s">
        <v>85</v>
      </c>
      <c r="I21" s="289" t="str">
        <f>("0051860")</f>
        <v>0051860</v>
      </c>
    </row>
    <row r="22" spans="1:9">
      <c r="A22" s="290">
        <v>51871</v>
      </c>
      <c r="B22" s="289" t="s">
        <v>34</v>
      </c>
      <c r="C22" s="289" t="s">
        <v>35</v>
      </c>
      <c r="D22" s="289" t="s">
        <v>86</v>
      </c>
      <c r="E22" s="289" t="s">
        <v>87</v>
      </c>
      <c r="F22" s="289" t="s">
        <v>88</v>
      </c>
      <c r="I22" s="289" t="str">
        <f>("0051871")</f>
        <v>0051871</v>
      </c>
    </row>
    <row r="23" spans="1:9">
      <c r="A23" s="290">
        <v>51983</v>
      </c>
      <c r="B23" s="289" t="s">
        <v>34</v>
      </c>
      <c r="C23" s="289" t="s">
        <v>35</v>
      </c>
      <c r="D23" s="289" t="s">
        <v>89</v>
      </c>
      <c r="E23" s="289" t="s">
        <v>90</v>
      </c>
      <c r="F23" s="289" t="s">
        <v>91</v>
      </c>
      <c r="I23" s="289" t="str">
        <f>("0051983")</f>
        <v>0051983</v>
      </c>
    </row>
    <row r="24" spans="1:9">
      <c r="A24" s="290">
        <v>52018</v>
      </c>
      <c r="B24" s="289" t="s">
        <v>34</v>
      </c>
      <c r="C24" s="289" t="s">
        <v>35</v>
      </c>
      <c r="D24" s="289" t="s">
        <v>92</v>
      </c>
      <c r="E24" s="289" t="s">
        <v>93</v>
      </c>
      <c r="F24" s="289" t="s">
        <v>94</v>
      </c>
      <c r="I24" s="289" t="str">
        <f>("0052018")</f>
        <v>0052018</v>
      </c>
    </row>
    <row r="25" spans="1:9">
      <c r="A25" s="290">
        <v>52085</v>
      </c>
      <c r="B25" s="289" t="s">
        <v>34</v>
      </c>
      <c r="C25" s="289" t="s">
        <v>35</v>
      </c>
      <c r="D25" s="289" t="s">
        <v>95</v>
      </c>
      <c r="E25" s="289" t="s">
        <v>95</v>
      </c>
      <c r="F25" s="289" t="s">
        <v>96</v>
      </c>
      <c r="I25" s="289" t="str">
        <f>("0052085")</f>
        <v>0052085</v>
      </c>
    </row>
    <row r="26" spans="1:9">
      <c r="A26" s="290">
        <v>52221</v>
      </c>
      <c r="B26" s="289" t="s">
        <v>34</v>
      </c>
      <c r="C26" s="289" t="s">
        <v>35</v>
      </c>
      <c r="D26" s="289" t="s">
        <v>97</v>
      </c>
      <c r="E26" s="289" t="s">
        <v>98</v>
      </c>
      <c r="F26" s="289" t="s">
        <v>99</v>
      </c>
      <c r="I26" s="289" t="str">
        <f>("0052221")</f>
        <v>0052221</v>
      </c>
    </row>
    <row r="27" spans="1:9">
      <c r="A27" s="290">
        <v>52254</v>
      </c>
      <c r="B27" s="289" t="s">
        <v>34</v>
      </c>
      <c r="C27" s="289" t="s">
        <v>35</v>
      </c>
      <c r="D27" s="289" t="s">
        <v>100</v>
      </c>
      <c r="E27" s="289" t="s">
        <v>100</v>
      </c>
      <c r="F27" s="289" t="s">
        <v>101</v>
      </c>
      <c r="I27" s="289" t="str">
        <f>("0052254")</f>
        <v>0052254</v>
      </c>
    </row>
    <row r="28" spans="1:9">
      <c r="A28" s="290">
        <v>52276</v>
      </c>
      <c r="B28" s="289" t="s">
        <v>34</v>
      </c>
      <c r="C28" s="289" t="s">
        <v>35</v>
      </c>
      <c r="D28" s="289" t="s">
        <v>102</v>
      </c>
      <c r="E28" s="289" t="s">
        <v>103</v>
      </c>
      <c r="F28" s="289" t="s">
        <v>104</v>
      </c>
      <c r="I28" s="289" t="str">
        <f>("0052276")</f>
        <v>0052276</v>
      </c>
    </row>
    <row r="29" spans="1:9">
      <c r="A29" s="290">
        <v>52311</v>
      </c>
      <c r="B29" s="289" t="s">
        <v>34</v>
      </c>
      <c r="C29" s="289" t="s">
        <v>35</v>
      </c>
      <c r="D29" s="289" t="s">
        <v>105</v>
      </c>
      <c r="E29" s="289" t="s">
        <v>106</v>
      </c>
      <c r="F29" s="289" t="s">
        <v>107</v>
      </c>
      <c r="I29" s="289" t="str">
        <f>("0052311")</f>
        <v>0052311</v>
      </c>
    </row>
    <row r="30" spans="1:9">
      <c r="A30" s="290">
        <v>52333</v>
      </c>
      <c r="B30" s="289" t="s">
        <v>34</v>
      </c>
      <c r="C30" s="289" t="s">
        <v>35</v>
      </c>
      <c r="D30" s="289" t="s">
        <v>108</v>
      </c>
      <c r="E30" s="289" t="s">
        <v>109</v>
      </c>
      <c r="F30" s="289" t="s">
        <v>110</v>
      </c>
      <c r="I30" s="289" t="str">
        <f>("0052333")</f>
        <v>0052333</v>
      </c>
    </row>
    <row r="31" spans="1:9">
      <c r="A31" s="290">
        <v>52445</v>
      </c>
      <c r="B31" s="289" t="s">
        <v>34</v>
      </c>
      <c r="C31" s="289" t="s">
        <v>35</v>
      </c>
      <c r="D31" s="289" t="s">
        <v>111</v>
      </c>
      <c r="E31" s="289" t="s">
        <v>112</v>
      </c>
      <c r="F31" s="289" t="s">
        <v>113</v>
      </c>
      <c r="I31" s="289" t="str">
        <f>("0052445")</f>
        <v>0052445</v>
      </c>
    </row>
    <row r="32" spans="1:9">
      <c r="A32" s="290">
        <v>52489</v>
      </c>
      <c r="B32" s="289" t="s">
        <v>34</v>
      </c>
      <c r="C32" s="289" t="s">
        <v>35</v>
      </c>
      <c r="D32" s="289" t="s">
        <v>114</v>
      </c>
      <c r="E32" s="289" t="s">
        <v>115</v>
      </c>
      <c r="F32" s="289" t="s">
        <v>116</v>
      </c>
      <c r="I32" s="289" t="str">
        <f>("0052489")</f>
        <v>0052489</v>
      </c>
    </row>
    <row r="33" spans="1:9">
      <c r="A33" s="290">
        <v>52502</v>
      </c>
      <c r="B33" s="289" t="s">
        <v>34</v>
      </c>
      <c r="C33" s="289" t="s">
        <v>35</v>
      </c>
      <c r="D33" s="289" t="s">
        <v>117</v>
      </c>
      <c r="E33" s="289" t="s">
        <v>118</v>
      </c>
      <c r="F33" s="289" t="s">
        <v>119</v>
      </c>
      <c r="I33" s="289" t="str">
        <f>("0052502")</f>
        <v>0052502</v>
      </c>
    </row>
    <row r="34" spans="1:9">
      <c r="A34" s="290">
        <v>52782</v>
      </c>
      <c r="B34" s="289" t="s">
        <v>34</v>
      </c>
      <c r="C34" s="289" t="s">
        <v>35</v>
      </c>
      <c r="D34" s="289" t="s">
        <v>120</v>
      </c>
      <c r="E34" s="289" t="s">
        <v>121</v>
      </c>
      <c r="F34" s="289" t="s">
        <v>122</v>
      </c>
      <c r="I34" s="289" t="str">
        <f>("0052782")</f>
        <v>0052782</v>
      </c>
    </row>
    <row r="35" spans="1:9">
      <c r="A35" s="290">
        <v>52962</v>
      </c>
      <c r="B35" s="289" t="s">
        <v>34</v>
      </c>
      <c r="C35" s="289" t="s">
        <v>35</v>
      </c>
      <c r="D35" s="289" t="s">
        <v>123</v>
      </c>
      <c r="E35" s="289" t="s">
        <v>124</v>
      </c>
      <c r="F35" s="289" t="s">
        <v>125</v>
      </c>
      <c r="I35" s="289" t="str">
        <f>("0052962")</f>
        <v>0052962</v>
      </c>
    </row>
    <row r="36" spans="1:9">
      <c r="A36" s="290">
        <v>52973</v>
      </c>
      <c r="B36" s="289" t="s">
        <v>34</v>
      </c>
      <c r="C36" s="289" t="s">
        <v>35</v>
      </c>
      <c r="D36" s="289" t="s">
        <v>126</v>
      </c>
      <c r="E36" s="289" t="s">
        <v>127</v>
      </c>
      <c r="F36" s="289" t="s">
        <v>128</v>
      </c>
      <c r="I36" s="289" t="str">
        <f>("0052973")</f>
        <v>0052973</v>
      </c>
    </row>
    <row r="37" spans="1:9">
      <c r="A37" s="290">
        <v>52984</v>
      </c>
      <c r="B37" s="289" t="s">
        <v>34</v>
      </c>
      <c r="C37" s="289" t="s">
        <v>35</v>
      </c>
      <c r="D37" s="289" t="s">
        <v>129</v>
      </c>
      <c r="E37" s="289" t="s">
        <v>130</v>
      </c>
      <c r="F37" s="289" t="s">
        <v>131</v>
      </c>
      <c r="I37" s="289" t="str">
        <f>("0052984")</f>
        <v>0052984</v>
      </c>
    </row>
    <row r="38" spans="1:9">
      <c r="A38" s="290">
        <v>53053</v>
      </c>
      <c r="B38" s="289" t="s">
        <v>34</v>
      </c>
      <c r="C38" s="289" t="s">
        <v>35</v>
      </c>
      <c r="D38" s="289" t="s">
        <v>132</v>
      </c>
      <c r="E38" s="289" t="s">
        <v>133</v>
      </c>
      <c r="F38" s="289" t="s">
        <v>134</v>
      </c>
      <c r="I38" s="289" t="str">
        <f>("0053053")</f>
        <v>0053053</v>
      </c>
    </row>
    <row r="39" spans="1:9">
      <c r="A39" s="290">
        <v>53121</v>
      </c>
      <c r="B39" s="289" t="s">
        <v>34</v>
      </c>
      <c r="C39" s="289" t="s">
        <v>35</v>
      </c>
      <c r="D39" s="289" t="s">
        <v>135</v>
      </c>
      <c r="E39" s="289" t="s">
        <v>136</v>
      </c>
      <c r="F39" s="289" t="s">
        <v>137</v>
      </c>
      <c r="I39" s="289" t="str">
        <f>("0053121")</f>
        <v>0053121</v>
      </c>
    </row>
    <row r="40" spans="1:9">
      <c r="A40" s="290">
        <v>53233</v>
      </c>
      <c r="B40" s="289" t="s">
        <v>34</v>
      </c>
      <c r="C40" s="289" t="s">
        <v>35</v>
      </c>
      <c r="D40" s="289" t="s">
        <v>138</v>
      </c>
      <c r="E40" s="289" t="s">
        <v>139</v>
      </c>
      <c r="F40" s="289" t="s">
        <v>140</v>
      </c>
      <c r="I40" s="289" t="str">
        <f>("0053233")</f>
        <v>0053233</v>
      </c>
    </row>
    <row r="41" spans="1:9">
      <c r="A41" s="290">
        <v>53266</v>
      </c>
      <c r="B41" s="289" t="s">
        <v>34</v>
      </c>
      <c r="C41" s="289" t="s">
        <v>35</v>
      </c>
      <c r="D41" s="289" t="s">
        <v>141</v>
      </c>
      <c r="E41" s="289" t="s">
        <v>142</v>
      </c>
      <c r="F41" s="289" t="s">
        <v>143</v>
      </c>
      <c r="I41" s="289" t="str">
        <f>("0053266")</f>
        <v>0053266</v>
      </c>
    </row>
    <row r="42" spans="1:9">
      <c r="A42" s="290">
        <v>53288</v>
      </c>
      <c r="B42" s="289" t="s">
        <v>34</v>
      </c>
      <c r="C42" s="289" t="s">
        <v>35</v>
      </c>
      <c r="D42" s="289" t="s">
        <v>144</v>
      </c>
      <c r="E42" s="289" t="s">
        <v>145</v>
      </c>
      <c r="F42" s="289" t="s">
        <v>146</v>
      </c>
      <c r="I42" s="289" t="str">
        <f>("0053288")</f>
        <v>0053288</v>
      </c>
    </row>
    <row r="43" spans="1:9">
      <c r="A43" s="290">
        <v>53345</v>
      </c>
      <c r="B43" s="289" t="s">
        <v>34</v>
      </c>
      <c r="C43" s="289" t="s">
        <v>35</v>
      </c>
      <c r="D43" s="289" t="s">
        <v>147</v>
      </c>
      <c r="E43" s="289" t="s">
        <v>148</v>
      </c>
      <c r="F43" s="289" t="s">
        <v>149</v>
      </c>
      <c r="I43" s="289" t="str">
        <f>("0053345")</f>
        <v>0053345</v>
      </c>
    </row>
    <row r="44" spans="1:9">
      <c r="A44" s="290">
        <v>53356</v>
      </c>
      <c r="B44" s="289" t="s">
        <v>34</v>
      </c>
      <c r="C44" s="289" t="s">
        <v>35</v>
      </c>
      <c r="D44" s="289" t="s">
        <v>150</v>
      </c>
      <c r="E44" s="289" t="s">
        <v>151</v>
      </c>
      <c r="F44" s="289" t="s">
        <v>5225</v>
      </c>
      <c r="I44" s="289" t="str">
        <f>("0053356")</f>
        <v>0053356</v>
      </c>
    </row>
    <row r="45" spans="1:9">
      <c r="A45" s="290">
        <v>53569</v>
      </c>
      <c r="B45" s="289" t="s">
        <v>34</v>
      </c>
      <c r="C45" s="289" t="s">
        <v>35</v>
      </c>
      <c r="D45" s="289" t="s">
        <v>152</v>
      </c>
      <c r="E45" s="289" t="s">
        <v>153</v>
      </c>
      <c r="F45" s="289" t="s">
        <v>154</v>
      </c>
      <c r="I45" s="289" t="str">
        <f>("0053569")</f>
        <v>0053569</v>
      </c>
    </row>
    <row r="46" spans="1:9">
      <c r="A46" s="290">
        <v>53705</v>
      </c>
      <c r="B46" s="289" t="s">
        <v>34</v>
      </c>
      <c r="C46" s="289" t="s">
        <v>35</v>
      </c>
      <c r="D46" s="289" t="s">
        <v>155</v>
      </c>
      <c r="E46" s="289" t="s">
        <v>156</v>
      </c>
      <c r="F46" s="289" t="s">
        <v>157</v>
      </c>
      <c r="I46" s="289" t="str">
        <f>("0053705")</f>
        <v>0053705</v>
      </c>
    </row>
    <row r="47" spans="1:9">
      <c r="A47" s="290">
        <v>53794</v>
      </c>
      <c r="B47" s="289" t="s">
        <v>34</v>
      </c>
      <c r="C47" s="289" t="s">
        <v>35</v>
      </c>
      <c r="D47" s="289" t="s">
        <v>158</v>
      </c>
      <c r="E47" s="289" t="s">
        <v>159</v>
      </c>
      <c r="F47" s="289" t="s">
        <v>160</v>
      </c>
      <c r="I47" s="289" t="str">
        <f>("0053794")</f>
        <v>0053794</v>
      </c>
    </row>
    <row r="48" spans="1:9">
      <c r="A48" s="290">
        <v>53985</v>
      </c>
      <c r="B48" s="289" t="s">
        <v>34</v>
      </c>
      <c r="C48" s="289" t="s">
        <v>35</v>
      </c>
      <c r="D48" s="289" t="s">
        <v>161</v>
      </c>
      <c r="E48" s="289" t="s">
        <v>162</v>
      </c>
      <c r="F48" s="289" t="s">
        <v>4849</v>
      </c>
      <c r="I48" s="289" t="str">
        <f>("0053985")</f>
        <v>0053985</v>
      </c>
    </row>
    <row r="49" spans="1:9">
      <c r="A49" s="290">
        <v>54043</v>
      </c>
      <c r="B49" s="289" t="s">
        <v>34</v>
      </c>
      <c r="C49" s="289" t="s">
        <v>35</v>
      </c>
      <c r="D49" s="289" t="s">
        <v>4660</v>
      </c>
      <c r="E49" s="289" t="s">
        <v>4661</v>
      </c>
      <c r="F49" s="289" t="s">
        <v>4662</v>
      </c>
      <c r="I49" s="289" t="str">
        <f>("0054043")</f>
        <v>0054043</v>
      </c>
    </row>
    <row r="50" spans="1:9">
      <c r="A50" s="290">
        <v>54100</v>
      </c>
      <c r="B50" s="289" t="s">
        <v>34</v>
      </c>
      <c r="C50" s="289" t="s">
        <v>35</v>
      </c>
      <c r="D50" s="289" t="s">
        <v>5226</v>
      </c>
      <c r="E50" s="289" t="s">
        <v>5227</v>
      </c>
      <c r="F50" s="289" t="s">
        <v>5228</v>
      </c>
      <c r="I50" s="289" t="str">
        <f>("0054100")</f>
        <v>0054100</v>
      </c>
    </row>
    <row r="51" spans="1:9">
      <c r="A51" s="290">
        <v>54201</v>
      </c>
      <c r="B51" s="289" t="s">
        <v>34</v>
      </c>
      <c r="C51" s="289" t="s">
        <v>35</v>
      </c>
      <c r="D51" s="289" t="s">
        <v>163</v>
      </c>
      <c r="E51" s="289" t="s">
        <v>164</v>
      </c>
      <c r="F51" s="289" t="s">
        <v>165</v>
      </c>
      <c r="I51" s="289" t="str">
        <f>("0054201")</f>
        <v>0054201</v>
      </c>
    </row>
    <row r="52" spans="1:9">
      <c r="A52" s="290">
        <v>54234</v>
      </c>
      <c r="B52" s="289" t="s">
        <v>34</v>
      </c>
      <c r="C52" s="289" t="s">
        <v>35</v>
      </c>
      <c r="D52" s="289" t="s">
        <v>166</v>
      </c>
      <c r="E52" s="289" t="s">
        <v>167</v>
      </c>
      <c r="F52" s="289" t="s">
        <v>168</v>
      </c>
      <c r="I52" s="289" t="str">
        <f>("0054234")</f>
        <v>0054234</v>
      </c>
    </row>
    <row r="53" spans="1:9">
      <c r="A53" s="290">
        <v>54290</v>
      </c>
      <c r="B53" s="289" t="s">
        <v>34</v>
      </c>
      <c r="C53" s="289" t="s">
        <v>35</v>
      </c>
      <c r="D53" s="289" t="s">
        <v>169</v>
      </c>
      <c r="E53" s="289" t="s">
        <v>170</v>
      </c>
      <c r="F53" s="289" t="s">
        <v>171</v>
      </c>
      <c r="I53" s="289" t="str">
        <f>("0054290")</f>
        <v>0054290</v>
      </c>
    </row>
    <row r="54" spans="1:9">
      <c r="A54" s="290">
        <v>54302</v>
      </c>
      <c r="B54" s="289" t="s">
        <v>34</v>
      </c>
      <c r="C54" s="289" t="s">
        <v>35</v>
      </c>
      <c r="D54" s="289" t="s">
        <v>172</v>
      </c>
      <c r="E54" s="289" t="s">
        <v>173</v>
      </c>
      <c r="F54" s="289" t="s">
        <v>174</v>
      </c>
      <c r="I54" s="289" t="str">
        <f>("0054302")</f>
        <v>0054302</v>
      </c>
    </row>
    <row r="55" spans="1:9">
      <c r="A55" s="290">
        <v>54357</v>
      </c>
      <c r="B55" s="289" t="s">
        <v>34</v>
      </c>
      <c r="C55" s="289" t="s">
        <v>35</v>
      </c>
      <c r="D55" s="289" t="s">
        <v>175</v>
      </c>
      <c r="E55" s="289" t="s">
        <v>176</v>
      </c>
      <c r="F55" s="289" t="s">
        <v>177</v>
      </c>
      <c r="I55" s="289" t="str">
        <f>("0054357")</f>
        <v>0054357</v>
      </c>
    </row>
    <row r="56" spans="1:9">
      <c r="A56" s="290">
        <v>54379</v>
      </c>
      <c r="B56" s="289" t="s">
        <v>34</v>
      </c>
      <c r="C56" s="289" t="s">
        <v>35</v>
      </c>
      <c r="D56" s="289" t="s">
        <v>178</v>
      </c>
      <c r="E56" s="289" t="s">
        <v>179</v>
      </c>
      <c r="F56" s="289" t="s">
        <v>180</v>
      </c>
      <c r="I56" s="289" t="str">
        <f>("0054379")</f>
        <v>0054379</v>
      </c>
    </row>
    <row r="57" spans="1:9">
      <c r="A57" s="290">
        <v>54458</v>
      </c>
      <c r="B57" s="289" t="s">
        <v>34</v>
      </c>
      <c r="C57" s="289" t="s">
        <v>35</v>
      </c>
      <c r="D57" s="289" t="s">
        <v>181</v>
      </c>
      <c r="E57" s="289" t="s">
        <v>182</v>
      </c>
      <c r="F57" s="289" t="s">
        <v>183</v>
      </c>
      <c r="I57" s="289" t="str">
        <f>("0054458")</f>
        <v>0054458</v>
      </c>
    </row>
    <row r="58" spans="1:9">
      <c r="A58" s="290">
        <v>54582</v>
      </c>
      <c r="B58" s="289" t="s">
        <v>34</v>
      </c>
      <c r="C58" s="289" t="s">
        <v>184</v>
      </c>
      <c r="D58" s="289" t="s">
        <v>185</v>
      </c>
      <c r="E58" s="289" t="s">
        <v>186</v>
      </c>
      <c r="F58" s="289" t="s">
        <v>187</v>
      </c>
      <c r="I58" s="289" t="str">
        <f>("0054582")</f>
        <v>0054582</v>
      </c>
    </row>
    <row r="59" spans="1:9">
      <c r="A59" s="290">
        <v>54593</v>
      </c>
      <c r="B59" s="289" t="s">
        <v>34</v>
      </c>
      <c r="C59" s="289" t="s">
        <v>184</v>
      </c>
      <c r="D59" s="289" t="s">
        <v>188</v>
      </c>
      <c r="E59" s="289" t="s">
        <v>189</v>
      </c>
      <c r="F59" s="289" t="s">
        <v>190</v>
      </c>
      <c r="I59" s="289" t="str">
        <f>("0054593")</f>
        <v>0054593</v>
      </c>
    </row>
    <row r="60" spans="1:9">
      <c r="A60" s="290">
        <v>54605</v>
      </c>
      <c r="B60" s="289" t="s">
        <v>34</v>
      </c>
      <c r="C60" s="289" t="s">
        <v>184</v>
      </c>
      <c r="D60" s="289" t="s">
        <v>4850</v>
      </c>
      <c r="E60" s="289" t="s">
        <v>4851</v>
      </c>
      <c r="F60" s="289" t="s">
        <v>4852</v>
      </c>
      <c r="I60" s="289" t="str">
        <f>("0054605")</f>
        <v>0054605</v>
      </c>
    </row>
    <row r="61" spans="1:9">
      <c r="A61" s="290">
        <v>54616</v>
      </c>
      <c r="B61" s="289" t="s">
        <v>34</v>
      </c>
      <c r="C61" s="289" t="s">
        <v>184</v>
      </c>
      <c r="D61" s="289" t="s">
        <v>191</v>
      </c>
      <c r="E61" s="289" t="s">
        <v>192</v>
      </c>
      <c r="F61" s="289" t="s">
        <v>193</v>
      </c>
      <c r="I61" s="289" t="str">
        <f>("0054616")</f>
        <v>0054616</v>
      </c>
    </row>
    <row r="62" spans="1:9">
      <c r="A62" s="290">
        <v>54751</v>
      </c>
      <c r="B62" s="289" t="s">
        <v>34</v>
      </c>
      <c r="C62" s="289" t="s">
        <v>35</v>
      </c>
      <c r="D62" s="289" t="s">
        <v>194</v>
      </c>
      <c r="E62" s="289" t="s">
        <v>195</v>
      </c>
      <c r="F62" s="289" t="s">
        <v>196</v>
      </c>
      <c r="I62" s="289" t="str">
        <f>("0054751")</f>
        <v>0054751</v>
      </c>
    </row>
    <row r="63" spans="1:9">
      <c r="A63" s="290">
        <v>54818</v>
      </c>
      <c r="B63" s="289" t="s">
        <v>34</v>
      </c>
      <c r="C63" s="289" t="s">
        <v>35</v>
      </c>
      <c r="D63" s="289" t="s">
        <v>197</v>
      </c>
      <c r="E63" s="289" t="s">
        <v>198</v>
      </c>
      <c r="F63" s="289" t="s">
        <v>199</v>
      </c>
      <c r="I63" s="289" t="str">
        <f>("0054818")</f>
        <v>0054818</v>
      </c>
    </row>
    <row r="64" spans="1:9">
      <c r="A64" s="290">
        <v>54829</v>
      </c>
      <c r="B64" s="289" t="s">
        <v>34</v>
      </c>
      <c r="C64" s="289" t="s">
        <v>35</v>
      </c>
      <c r="D64" s="289" t="s">
        <v>200</v>
      </c>
      <c r="E64" s="289" t="s">
        <v>201</v>
      </c>
      <c r="F64" s="289" t="s">
        <v>202</v>
      </c>
      <c r="I64" s="289" t="str">
        <f>("0054829")</f>
        <v>0054829</v>
      </c>
    </row>
    <row r="65" spans="1:9">
      <c r="A65" s="290">
        <v>55000</v>
      </c>
      <c r="B65" s="289" t="s">
        <v>34</v>
      </c>
      <c r="C65" s="289" t="s">
        <v>35</v>
      </c>
      <c r="D65" s="289" t="s">
        <v>4853</v>
      </c>
      <c r="E65" s="289" t="s">
        <v>4854</v>
      </c>
      <c r="F65" s="289" t="s">
        <v>4855</v>
      </c>
      <c r="I65" s="289" t="str">
        <f>("0055000")</f>
        <v>0055000</v>
      </c>
    </row>
    <row r="66" spans="1:9">
      <c r="A66" s="290">
        <v>84978</v>
      </c>
      <c r="B66" s="289" t="s">
        <v>34</v>
      </c>
      <c r="C66" s="289" t="s">
        <v>35</v>
      </c>
      <c r="D66" s="289" t="s">
        <v>203</v>
      </c>
      <c r="E66" s="289" t="s">
        <v>204</v>
      </c>
      <c r="F66" s="289" t="s">
        <v>205</v>
      </c>
      <c r="I66" s="289" t="str">
        <f>("0084978")</f>
        <v>0084978</v>
      </c>
    </row>
    <row r="67" spans="1:9">
      <c r="A67" s="290">
        <v>132949</v>
      </c>
      <c r="B67" s="289" t="s">
        <v>34</v>
      </c>
      <c r="C67" s="289" t="s">
        <v>206</v>
      </c>
      <c r="D67" s="289" t="s">
        <v>207</v>
      </c>
      <c r="E67" s="289" t="s">
        <v>208</v>
      </c>
      <c r="F67" s="289" t="s">
        <v>5229</v>
      </c>
      <c r="I67" s="289" t="str">
        <f>("0132949")</f>
        <v>0132949</v>
      </c>
    </row>
    <row r="68" spans="1:9">
      <c r="A68" s="290">
        <v>157968</v>
      </c>
      <c r="B68" s="289" t="s">
        <v>34</v>
      </c>
      <c r="C68" s="289" t="s">
        <v>209</v>
      </c>
      <c r="D68" s="289" t="s">
        <v>210</v>
      </c>
      <c r="E68" s="289" t="s">
        <v>211</v>
      </c>
      <c r="F68" s="289" t="s">
        <v>5230</v>
      </c>
      <c r="I68" s="289" t="str">
        <f>("0157968")</f>
        <v>0157968</v>
      </c>
    </row>
    <row r="69" spans="1:9">
      <c r="A69" s="290">
        <v>165192</v>
      </c>
      <c r="B69" s="289" t="s">
        <v>29</v>
      </c>
      <c r="C69" s="289" t="s">
        <v>212</v>
      </c>
      <c r="D69" s="289" t="s">
        <v>213</v>
      </c>
      <c r="E69" s="289" t="s">
        <v>214</v>
      </c>
      <c r="F69" s="289" t="s">
        <v>215</v>
      </c>
      <c r="I69" s="289" t="str">
        <f>("0165192")</f>
        <v>0165192</v>
      </c>
    </row>
    <row r="70" spans="1:9">
      <c r="A70" s="290">
        <v>165204</v>
      </c>
      <c r="B70" s="289" t="s">
        <v>29</v>
      </c>
      <c r="C70" s="289" t="s">
        <v>212</v>
      </c>
      <c r="D70" s="289" t="s">
        <v>216</v>
      </c>
      <c r="E70" s="289" t="s">
        <v>217</v>
      </c>
      <c r="F70" s="289" t="s">
        <v>218</v>
      </c>
      <c r="I70" s="289" t="str">
        <f>("0165204")</f>
        <v>0165204</v>
      </c>
    </row>
    <row r="71" spans="1:9">
      <c r="A71" s="290">
        <v>165215</v>
      </c>
      <c r="B71" s="289" t="s">
        <v>29</v>
      </c>
      <c r="C71" s="289" t="s">
        <v>212</v>
      </c>
      <c r="D71" s="289" t="s">
        <v>219</v>
      </c>
      <c r="E71" s="289" t="s">
        <v>220</v>
      </c>
      <c r="F71" s="289" t="s">
        <v>221</v>
      </c>
      <c r="I71" s="289" t="str">
        <f>("0165215")</f>
        <v>0165215</v>
      </c>
    </row>
    <row r="72" spans="1:9">
      <c r="A72" s="290">
        <v>165226</v>
      </c>
      <c r="B72" s="289" t="s">
        <v>29</v>
      </c>
      <c r="C72" s="289" t="s">
        <v>212</v>
      </c>
      <c r="D72" s="289" t="s">
        <v>222</v>
      </c>
      <c r="E72" s="289" t="s">
        <v>223</v>
      </c>
      <c r="F72" s="289" t="s">
        <v>224</v>
      </c>
      <c r="I72" s="289" t="str">
        <f>("0165226")</f>
        <v>0165226</v>
      </c>
    </row>
    <row r="73" spans="1:9">
      <c r="A73" s="290">
        <v>165237</v>
      </c>
      <c r="B73" s="289" t="s">
        <v>29</v>
      </c>
      <c r="C73" s="289" t="s">
        <v>212</v>
      </c>
      <c r="D73" s="289" t="s">
        <v>225</v>
      </c>
      <c r="E73" s="289" t="s">
        <v>226</v>
      </c>
      <c r="F73" s="289" t="s">
        <v>4856</v>
      </c>
      <c r="I73" s="289" t="str">
        <f>("0165237")</f>
        <v>0165237</v>
      </c>
    </row>
    <row r="74" spans="1:9">
      <c r="A74" s="290">
        <v>165259</v>
      </c>
      <c r="B74" s="289" t="s">
        <v>29</v>
      </c>
      <c r="C74" s="289" t="s">
        <v>212</v>
      </c>
      <c r="D74" s="289" t="s">
        <v>227</v>
      </c>
      <c r="E74" s="289" t="s">
        <v>228</v>
      </c>
      <c r="F74" s="289" t="s">
        <v>229</v>
      </c>
      <c r="I74" s="289" t="str">
        <f>("0165259")</f>
        <v>0165259</v>
      </c>
    </row>
    <row r="75" spans="1:9">
      <c r="A75" s="290">
        <v>165271</v>
      </c>
      <c r="B75" s="289" t="s">
        <v>29</v>
      </c>
      <c r="C75" s="289" t="s">
        <v>212</v>
      </c>
      <c r="D75" s="289" t="s">
        <v>230</v>
      </c>
      <c r="E75" s="289" t="s">
        <v>231</v>
      </c>
      <c r="F75" s="289" t="s">
        <v>232</v>
      </c>
      <c r="I75" s="289" t="str">
        <f>("0165271")</f>
        <v>0165271</v>
      </c>
    </row>
    <row r="76" spans="1:9">
      <c r="A76" s="290">
        <v>165282</v>
      </c>
      <c r="B76" s="289" t="s">
        <v>29</v>
      </c>
      <c r="C76" s="289" t="s">
        <v>212</v>
      </c>
      <c r="D76" s="289" t="s">
        <v>233</v>
      </c>
      <c r="E76" s="289" t="s">
        <v>234</v>
      </c>
      <c r="F76" s="289" t="s">
        <v>235</v>
      </c>
      <c r="I76" s="289" t="str">
        <f>("0165282")</f>
        <v>0165282</v>
      </c>
    </row>
    <row r="77" spans="1:9">
      <c r="A77" s="290">
        <v>165293</v>
      </c>
      <c r="B77" s="289" t="s">
        <v>29</v>
      </c>
      <c r="C77" s="289" t="s">
        <v>212</v>
      </c>
      <c r="D77" s="289" t="s">
        <v>236</v>
      </c>
      <c r="E77" s="289" t="s">
        <v>237</v>
      </c>
      <c r="F77" s="289" t="s">
        <v>238</v>
      </c>
      <c r="I77" s="289" t="str">
        <f>("0165293")</f>
        <v>0165293</v>
      </c>
    </row>
    <row r="78" spans="1:9">
      <c r="A78" s="290">
        <v>165305</v>
      </c>
      <c r="B78" s="289" t="s">
        <v>29</v>
      </c>
      <c r="C78" s="289" t="s">
        <v>212</v>
      </c>
      <c r="D78" s="289" t="s">
        <v>239</v>
      </c>
      <c r="E78" s="289" t="s">
        <v>240</v>
      </c>
      <c r="F78" s="289" t="s">
        <v>241</v>
      </c>
      <c r="I78" s="289" t="str">
        <f>("0165305")</f>
        <v>0165305</v>
      </c>
    </row>
    <row r="79" spans="1:9">
      <c r="A79" s="290">
        <v>165316</v>
      </c>
      <c r="B79" s="289" t="s">
        <v>29</v>
      </c>
      <c r="C79" s="289" t="s">
        <v>212</v>
      </c>
      <c r="D79" s="289" t="s">
        <v>242</v>
      </c>
      <c r="E79" s="289" t="s">
        <v>243</v>
      </c>
      <c r="F79" s="289" t="s">
        <v>244</v>
      </c>
      <c r="I79" s="289" t="str">
        <f>("0165316")</f>
        <v>0165316</v>
      </c>
    </row>
    <row r="80" spans="1:9">
      <c r="A80" s="290">
        <v>165327</v>
      </c>
      <c r="B80" s="289" t="s">
        <v>29</v>
      </c>
      <c r="C80" s="289" t="s">
        <v>212</v>
      </c>
      <c r="D80" s="289" t="s">
        <v>245</v>
      </c>
      <c r="E80" s="289" t="s">
        <v>246</v>
      </c>
      <c r="F80" s="289" t="s">
        <v>247</v>
      </c>
      <c r="I80" s="289" t="str">
        <f>("0165327")</f>
        <v>0165327</v>
      </c>
    </row>
    <row r="81" spans="1:9">
      <c r="A81" s="290">
        <v>165349</v>
      </c>
      <c r="B81" s="289" t="s">
        <v>29</v>
      </c>
      <c r="C81" s="289" t="s">
        <v>212</v>
      </c>
      <c r="D81" s="289" t="s">
        <v>248</v>
      </c>
      <c r="E81" s="289" t="s">
        <v>249</v>
      </c>
      <c r="F81" s="289" t="s">
        <v>250</v>
      </c>
      <c r="I81" s="289" t="str">
        <f>("0165349")</f>
        <v>0165349</v>
      </c>
    </row>
    <row r="82" spans="1:9">
      <c r="A82" s="290">
        <v>165350</v>
      </c>
      <c r="B82" s="289" t="s">
        <v>29</v>
      </c>
      <c r="C82" s="289" t="s">
        <v>212</v>
      </c>
      <c r="D82" s="289" t="s">
        <v>251</v>
      </c>
      <c r="E82" s="289" t="s">
        <v>252</v>
      </c>
      <c r="F82" s="289" t="s">
        <v>253</v>
      </c>
      <c r="I82" s="289" t="str">
        <f>("0165350")</f>
        <v>0165350</v>
      </c>
    </row>
    <row r="83" spans="1:9">
      <c r="A83" s="290">
        <v>165361</v>
      </c>
      <c r="B83" s="289" t="s">
        <v>29</v>
      </c>
      <c r="C83" s="289" t="s">
        <v>212</v>
      </c>
      <c r="D83" s="289" t="s">
        <v>254</v>
      </c>
      <c r="E83" s="289" t="s">
        <v>255</v>
      </c>
      <c r="F83" s="289" t="s">
        <v>256</v>
      </c>
      <c r="I83" s="289" t="str">
        <f>("0165361")</f>
        <v>0165361</v>
      </c>
    </row>
    <row r="84" spans="1:9">
      <c r="A84" s="290">
        <v>165372</v>
      </c>
      <c r="B84" s="289" t="s">
        <v>29</v>
      </c>
      <c r="C84" s="289" t="s">
        <v>212</v>
      </c>
      <c r="D84" s="289" t="s">
        <v>257</v>
      </c>
      <c r="E84" s="289" t="s">
        <v>258</v>
      </c>
      <c r="F84" s="289" t="s">
        <v>259</v>
      </c>
      <c r="I84" s="289" t="str">
        <f>("0165372")</f>
        <v>0165372</v>
      </c>
    </row>
    <row r="85" spans="1:9">
      <c r="A85" s="290">
        <v>165383</v>
      </c>
      <c r="B85" s="289" t="s">
        <v>29</v>
      </c>
      <c r="C85" s="289" t="s">
        <v>212</v>
      </c>
      <c r="D85" s="289" t="s">
        <v>260</v>
      </c>
      <c r="E85" s="289" t="s">
        <v>261</v>
      </c>
      <c r="F85" s="289" t="s">
        <v>262</v>
      </c>
      <c r="I85" s="289" t="str">
        <f>("0165383")</f>
        <v>0165383</v>
      </c>
    </row>
    <row r="86" spans="1:9">
      <c r="A86" s="290">
        <v>165394</v>
      </c>
      <c r="B86" s="289" t="s">
        <v>29</v>
      </c>
      <c r="C86" s="289" t="s">
        <v>212</v>
      </c>
      <c r="D86" s="289" t="s">
        <v>263</v>
      </c>
      <c r="E86" s="289" t="s">
        <v>264</v>
      </c>
      <c r="F86" s="289" t="s">
        <v>4663</v>
      </c>
      <c r="I86" s="289" t="str">
        <f>("0165394")</f>
        <v>0165394</v>
      </c>
    </row>
    <row r="87" spans="1:9">
      <c r="A87" s="290">
        <v>165428</v>
      </c>
      <c r="B87" s="289" t="s">
        <v>29</v>
      </c>
      <c r="C87" s="289" t="s">
        <v>212</v>
      </c>
      <c r="D87" s="289" t="s">
        <v>265</v>
      </c>
      <c r="E87" s="289" t="s">
        <v>266</v>
      </c>
      <c r="F87" s="289" t="s">
        <v>267</v>
      </c>
      <c r="I87" s="289" t="str">
        <f>("0165428")</f>
        <v>0165428</v>
      </c>
    </row>
    <row r="88" spans="1:9">
      <c r="A88" s="290">
        <v>165440</v>
      </c>
      <c r="B88" s="289" t="s">
        <v>29</v>
      </c>
      <c r="C88" s="289" t="s">
        <v>212</v>
      </c>
      <c r="D88" s="289" t="s">
        <v>268</v>
      </c>
      <c r="E88" s="289" t="s">
        <v>269</v>
      </c>
      <c r="F88" s="289" t="s">
        <v>270</v>
      </c>
      <c r="I88" s="289" t="str">
        <f>("0165440")</f>
        <v>0165440</v>
      </c>
    </row>
    <row r="89" spans="1:9">
      <c r="A89" s="290">
        <v>165462</v>
      </c>
      <c r="B89" s="289" t="s">
        <v>29</v>
      </c>
      <c r="C89" s="289" t="s">
        <v>212</v>
      </c>
      <c r="D89" s="289" t="s">
        <v>271</v>
      </c>
      <c r="E89" s="289" t="s">
        <v>272</v>
      </c>
      <c r="F89" s="289" t="s">
        <v>273</v>
      </c>
      <c r="I89" s="289" t="str">
        <f>("0165462")</f>
        <v>0165462</v>
      </c>
    </row>
    <row r="90" spans="1:9">
      <c r="A90" s="290">
        <v>165473</v>
      </c>
      <c r="B90" s="289" t="s">
        <v>29</v>
      </c>
      <c r="C90" s="289" t="s">
        <v>212</v>
      </c>
      <c r="D90" s="289" t="s">
        <v>274</v>
      </c>
      <c r="E90" s="289" t="s">
        <v>275</v>
      </c>
      <c r="F90" s="289" t="s">
        <v>5231</v>
      </c>
      <c r="I90" s="289" t="str">
        <f>("0165473")</f>
        <v>0165473</v>
      </c>
    </row>
    <row r="91" spans="1:9">
      <c r="A91" s="290">
        <v>165484</v>
      </c>
      <c r="B91" s="289" t="s">
        <v>29</v>
      </c>
      <c r="C91" s="289" t="s">
        <v>212</v>
      </c>
      <c r="D91" s="289" t="s">
        <v>276</v>
      </c>
      <c r="E91" s="289" t="s">
        <v>277</v>
      </c>
      <c r="F91" s="289" t="s">
        <v>278</v>
      </c>
      <c r="I91" s="289" t="str">
        <f>("0165484")</f>
        <v>0165484</v>
      </c>
    </row>
    <row r="92" spans="1:9">
      <c r="A92" s="290">
        <v>165495</v>
      </c>
      <c r="B92" s="289" t="s">
        <v>29</v>
      </c>
      <c r="C92" s="289" t="s">
        <v>212</v>
      </c>
      <c r="D92" s="289" t="s">
        <v>279</v>
      </c>
      <c r="E92" s="289" t="s">
        <v>280</v>
      </c>
      <c r="F92" s="289" t="s">
        <v>281</v>
      </c>
      <c r="I92" s="289" t="str">
        <f>("0165495")</f>
        <v>0165495</v>
      </c>
    </row>
    <row r="93" spans="1:9">
      <c r="A93" s="290">
        <v>165507</v>
      </c>
      <c r="B93" s="289" t="s">
        <v>29</v>
      </c>
      <c r="C93" s="289" t="s">
        <v>212</v>
      </c>
      <c r="D93" s="289" t="s">
        <v>282</v>
      </c>
      <c r="E93" s="289" t="s">
        <v>283</v>
      </c>
      <c r="F93" s="289" t="s">
        <v>284</v>
      </c>
      <c r="I93" s="289" t="str">
        <f>("0165507")</f>
        <v>0165507</v>
      </c>
    </row>
    <row r="94" spans="1:9">
      <c r="A94" s="290">
        <v>165518</v>
      </c>
      <c r="B94" s="289" t="s">
        <v>29</v>
      </c>
      <c r="C94" s="289" t="s">
        <v>212</v>
      </c>
      <c r="D94" s="289" t="s">
        <v>285</v>
      </c>
      <c r="E94" s="289" t="s">
        <v>286</v>
      </c>
      <c r="F94" s="289" t="s">
        <v>287</v>
      </c>
      <c r="I94" s="289" t="str">
        <f>("0165518")</f>
        <v>0165518</v>
      </c>
    </row>
    <row r="95" spans="1:9">
      <c r="A95" s="290">
        <v>165529</v>
      </c>
      <c r="B95" s="289" t="s">
        <v>29</v>
      </c>
      <c r="C95" s="289" t="s">
        <v>212</v>
      </c>
      <c r="D95" s="289" t="s">
        <v>4664</v>
      </c>
      <c r="E95" s="289" t="s">
        <v>4665</v>
      </c>
      <c r="F95" s="289" t="s">
        <v>288</v>
      </c>
      <c r="I95" s="289" t="str">
        <f>("0165529")</f>
        <v>0165529</v>
      </c>
    </row>
    <row r="96" spans="1:9">
      <c r="A96" s="290">
        <v>165530</v>
      </c>
      <c r="B96" s="289" t="s">
        <v>29</v>
      </c>
      <c r="C96" s="289" t="s">
        <v>212</v>
      </c>
      <c r="D96" s="289" t="s">
        <v>289</v>
      </c>
      <c r="E96" s="289" t="s">
        <v>290</v>
      </c>
      <c r="F96" s="289" t="s">
        <v>291</v>
      </c>
      <c r="I96" s="289" t="str">
        <f>("0165530")</f>
        <v>0165530</v>
      </c>
    </row>
    <row r="97" spans="1:9">
      <c r="A97" s="290">
        <v>165541</v>
      </c>
      <c r="B97" s="289" t="s">
        <v>29</v>
      </c>
      <c r="C97" s="289" t="s">
        <v>212</v>
      </c>
      <c r="D97" s="289" t="s">
        <v>292</v>
      </c>
      <c r="E97" s="289" t="s">
        <v>293</v>
      </c>
      <c r="F97" s="289" t="s">
        <v>294</v>
      </c>
      <c r="I97" s="289" t="str">
        <f>("0165541")</f>
        <v>0165541</v>
      </c>
    </row>
    <row r="98" spans="1:9">
      <c r="A98" s="290">
        <v>165552</v>
      </c>
      <c r="B98" s="289" t="s">
        <v>29</v>
      </c>
      <c r="C98" s="289" t="s">
        <v>212</v>
      </c>
      <c r="D98" s="289" t="s">
        <v>295</v>
      </c>
      <c r="E98" s="289" t="s">
        <v>296</v>
      </c>
      <c r="F98" s="289" t="s">
        <v>4857</v>
      </c>
      <c r="I98" s="289" t="str">
        <f>("0165552")</f>
        <v>0165552</v>
      </c>
    </row>
    <row r="99" spans="1:9">
      <c r="A99" s="290">
        <v>165563</v>
      </c>
      <c r="B99" s="289" t="s">
        <v>29</v>
      </c>
      <c r="C99" s="289" t="s">
        <v>212</v>
      </c>
      <c r="D99" s="289" t="s">
        <v>297</v>
      </c>
      <c r="E99" s="289" t="s">
        <v>298</v>
      </c>
      <c r="F99" s="289" t="s">
        <v>299</v>
      </c>
      <c r="I99" s="289" t="str">
        <f>("0165563")</f>
        <v>0165563</v>
      </c>
    </row>
    <row r="100" spans="1:9">
      <c r="A100" s="290">
        <v>165574</v>
      </c>
      <c r="B100" s="289" t="s">
        <v>29</v>
      </c>
      <c r="C100" s="289" t="s">
        <v>212</v>
      </c>
      <c r="D100" s="289" t="s">
        <v>300</v>
      </c>
      <c r="E100" s="289" t="s">
        <v>301</v>
      </c>
      <c r="F100" s="289" t="s">
        <v>302</v>
      </c>
      <c r="I100" s="289" t="str">
        <f>("0165574")</f>
        <v>0165574</v>
      </c>
    </row>
    <row r="101" spans="1:9">
      <c r="A101" s="290">
        <v>165585</v>
      </c>
      <c r="B101" s="289" t="s">
        <v>29</v>
      </c>
      <c r="C101" s="289" t="s">
        <v>212</v>
      </c>
      <c r="D101" s="289" t="s">
        <v>303</v>
      </c>
      <c r="E101" s="289" t="s">
        <v>304</v>
      </c>
      <c r="F101" s="289" t="s">
        <v>305</v>
      </c>
      <c r="I101" s="289" t="str">
        <f>("0165585")</f>
        <v>0165585</v>
      </c>
    </row>
    <row r="102" spans="1:9">
      <c r="A102" s="290">
        <v>165596</v>
      </c>
      <c r="B102" s="289" t="s">
        <v>29</v>
      </c>
      <c r="C102" s="289" t="s">
        <v>212</v>
      </c>
      <c r="D102" s="289" t="s">
        <v>306</v>
      </c>
      <c r="E102" s="289" t="s">
        <v>307</v>
      </c>
      <c r="F102" s="289" t="s">
        <v>308</v>
      </c>
      <c r="I102" s="289" t="str">
        <f>("0165596")</f>
        <v>0165596</v>
      </c>
    </row>
    <row r="103" spans="1:9">
      <c r="A103" s="290">
        <v>165608</v>
      </c>
      <c r="B103" s="289" t="s">
        <v>29</v>
      </c>
      <c r="C103" s="289" t="s">
        <v>212</v>
      </c>
      <c r="D103" s="289" t="s">
        <v>309</v>
      </c>
      <c r="E103" s="289" t="s">
        <v>310</v>
      </c>
      <c r="F103" s="289" t="s">
        <v>311</v>
      </c>
      <c r="I103" s="289" t="str">
        <f>("0165608")</f>
        <v>0165608</v>
      </c>
    </row>
    <row r="104" spans="1:9">
      <c r="A104" s="290">
        <v>165619</v>
      </c>
      <c r="B104" s="289" t="s">
        <v>29</v>
      </c>
      <c r="C104" s="289" t="s">
        <v>212</v>
      </c>
      <c r="D104" s="289" t="s">
        <v>312</v>
      </c>
      <c r="E104" s="289" t="s">
        <v>313</v>
      </c>
      <c r="F104" s="289" t="s">
        <v>314</v>
      </c>
      <c r="I104" s="289" t="str">
        <f>("0165619")</f>
        <v>0165619</v>
      </c>
    </row>
    <row r="105" spans="1:9">
      <c r="A105" s="290">
        <v>165620</v>
      </c>
      <c r="B105" s="289" t="s">
        <v>29</v>
      </c>
      <c r="C105" s="289" t="s">
        <v>212</v>
      </c>
      <c r="D105" s="289" t="s">
        <v>315</v>
      </c>
      <c r="E105" s="289" t="s">
        <v>316</v>
      </c>
      <c r="F105" s="289" t="s">
        <v>317</v>
      </c>
      <c r="I105" s="289" t="str">
        <f>("0165620")</f>
        <v>0165620</v>
      </c>
    </row>
    <row r="106" spans="1:9">
      <c r="A106" s="290">
        <v>165631</v>
      </c>
      <c r="B106" s="289" t="s">
        <v>29</v>
      </c>
      <c r="C106" s="289" t="s">
        <v>212</v>
      </c>
      <c r="D106" s="289" t="s">
        <v>318</v>
      </c>
      <c r="E106" s="289" t="s">
        <v>319</v>
      </c>
      <c r="F106" s="289" t="s">
        <v>320</v>
      </c>
      <c r="I106" s="289" t="str">
        <f>("0165631")</f>
        <v>0165631</v>
      </c>
    </row>
    <row r="107" spans="1:9">
      <c r="A107" s="290">
        <v>165642</v>
      </c>
      <c r="B107" s="289" t="s">
        <v>29</v>
      </c>
      <c r="C107" s="289" t="s">
        <v>212</v>
      </c>
      <c r="D107" s="289" t="s">
        <v>321</v>
      </c>
      <c r="E107" s="289" t="s">
        <v>322</v>
      </c>
      <c r="F107" s="289" t="s">
        <v>323</v>
      </c>
      <c r="I107" s="289" t="str">
        <f>("0165642")</f>
        <v>0165642</v>
      </c>
    </row>
    <row r="108" spans="1:9">
      <c r="A108" s="290">
        <v>165653</v>
      </c>
      <c r="B108" s="289" t="s">
        <v>29</v>
      </c>
      <c r="C108" s="289" t="s">
        <v>212</v>
      </c>
      <c r="D108" s="289" t="s">
        <v>324</v>
      </c>
      <c r="E108" s="289" t="s">
        <v>325</v>
      </c>
      <c r="F108" s="289" t="s">
        <v>326</v>
      </c>
      <c r="I108" s="289" t="str">
        <f>("0165653")</f>
        <v>0165653</v>
      </c>
    </row>
    <row r="109" spans="1:9">
      <c r="A109" s="290">
        <v>165664</v>
      </c>
      <c r="B109" s="289" t="s">
        <v>29</v>
      </c>
      <c r="C109" s="289" t="s">
        <v>212</v>
      </c>
      <c r="D109" s="289" t="s">
        <v>327</v>
      </c>
      <c r="E109" s="289" t="s">
        <v>328</v>
      </c>
      <c r="F109" s="289" t="s">
        <v>329</v>
      </c>
      <c r="I109" s="289" t="str">
        <f>("0165664")</f>
        <v>0165664</v>
      </c>
    </row>
    <row r="110" spans="1:9">
      <c r="A110" s="290">
        <v>165675</v>
      </c>
      <c r="B110" s="289" t="s">
        <v>29</v>
      </c>
      <c r="C110" s="289" t="s">
        <v>212</v>
      </c>
      <c r="D110" s="289" t="s">
        <v>330</v>
      </c>
      <c r="E110" s="289" t="s">
        <v>331</v>
      </c>
      <c r="F110" s="289" t="s">
        <v>332</v>
      </c>
      <c r="I110" s="289" t="str">
        <f>("0165675")</f>
        <v>0165675</v>
      </c>
    </row>
    <row r="111" spans="1:9">
      <c r="A111" s="290">
        <v>165686</v>
      </c>
      <c r="B111" s="289" t="s">
        <v>29</v>
      </c>
      <c r="C111" s="289" t="s">
        <v>212</v>
      </c>
      <c r="D111" s="289" t="s">
        <v>333</v>
      </c>
      <c r="E111" s="289" t="s">
        <v>334</v>
      </c>
      <c r="F111" s="289" t="s">
        <v>335</v>
      </c>
      <c r="I111" s="289" t="str">
        <f>("0165686")</f>
        <v>0165686</v>
      </c>
    </row>
    <row r="112" spans="1:9">
      <c r="A112" s="290">
        <v>165697</v>
      </c>
      <c r="B112" s="289" t="s">
        <v>29</v>
      </c>
      <c r="C112" s="289" t="s">
        <v>212</v>
      </c>
      <c r="D112" s="289" t="s">
        <v>336</v>
      </c>
      <c r="E112" s="289" t="s">
        <v>337</v>
      </c>
      <c r="F112" s="289" t="s">
        <v>338</v>
      </c>
      <c r="I112" s="289" t="str">
        <f>("0165697")</f>
        <v>0165697</v>
      </c>
    </row>
    <row r="113" spans="1:9">
      <c r="A113" s="290">
        <v>165709</v>
      </c>
      <c r="B113" s="289" t="s">
        <v>29</v>
      </c>
      <c r="C113" s="289" t="s">
        <v>212</v>
      </c>
      <c r="D113" s="289" t="s">
        <v>339</v>
      </c>
      <c r="E113" s="289" t="s">
        <v>340</v>
      </c>
      <c r="F113" s="289" t="s">
        <v>341</v>
      </c>
      <c r="I113" s="289" t="str">
        <f>("0165709")</f>
        <v>0165709</v>
      </c>
    </row>
    <row r="114" spans="1:9">
      <c r="A114" s="290">
        <v>165710</v>
      </c>
      <c r="B114" s="289" t="s">
        <v>29</v>
      </c>
      <c r="C114" s="289" t="s">
        <v>212</v>
      </c>
      <c r="D114" s="289" t="s">
        <v>342</v>
      </c>
      <c r="E114" s="289" t="s">
        <v>343</v>
      </c>
      <c r="F114" s="289" t="s">
        <v>344</v>
      </c>
      <c r="I114" s="289" t="str">
        <f>("0165710")</f>
        <v>0165710</v>
      </c>
    </row>
    <row r="115" spans="1:9">
      <c r="A115" s="290">
        <v>165721</v>
      </c>
      <c r="B115" s="289" t="s">
        <v>29</v>
      </c>
      <c r="C115" s="289" t="s">
        <v>212</v>
      </c>
      <c r="D115" s="289" t="s">
        <v>345</v>
      </c>
      <c r="E115" s="289" t="s">
        <v>346</v>
      </c>
      <c r="F115" s="289" t="s">
        <v>347</v>
      </c>
      <c r="I115" s="289" t="str">
        <f>("0165721")</f>
        <v>0165721</v>
      </c>
    </row>
    <row r="116" spans="1:9">
      <c r="A116" s="290">
        <v>165732</v>
      </c>
      <c r="B116" s="289" t="s">
        <v>29</v>
      </c>
      <c r="C116" s="289" t="s">
        <v>212</v>
      </c>
      <c r="D116" s="289" t="s">
        <v>348</v>
      </c>
      <c r="E116" s="289" t="s">
        <v>349</v>
      </c>
      <c r="F116" s="289" t="s">
        <v>350</v>
      </c>
      <c r="I116" s="289" t="str">
        <f>("0165732")</f>
        <v>0165732</v>
      </c>
    </row>
    <row r="117" spans="1:9">
      <c r="A117" s="290">
        <v>165743</v>
      </c>
      <c r="B117" s="289" t="s">
        <v>29</v>
      </c>
      <c r="C117" s="289" t="s">
        <v>212</v>
      </c>
      <c r="D117" s="289" t="s">
        <v>351</v>
      </c>
      <c r="E117" s="289" t="s">
        <v>352</v>
      </c>
      <c r="F117" s="289" t="s">
        <v>353</v>
      </c>
      <c r="I117" s="289" t="str">
        <f>("0165743")</f>
        <v>0165743</v>
      </c>
    </row>
    <row r="118" spans="1:9">
      <c r="A118" s="290">
        <v>165754</v>
      </c>
      <c r="B118" s="289" t="s">
        <v>29</v>
      </c>
      <c r="C118" s="289" t="s">
        <v>212</v>
      </c>
      <c r="D118" s="289" t="s">
        <v>354</v>
      </c>
      <c r="E118" s="289" t="s">
        <v>355</v>
      </c>
      <c r="F118" s="289" t="s">
        <v>356</v>
      </c>
      <c r="I118" s="289" t="str">
        <f>("0165754")</f>
        <v>0165754</v>
      </c>
    </row>
    <row r="119" spans="1:9">
      <c r="A119" s="290">
        <v>165765</v>
      </c>
      <c r="B119" s="289" t="s">
        <v>29</v>
      </c>
      <c r="C119" s="289" t="s">
        <v>212</v>
      </c>
      <c r="D119" s="289" t="s">
        <v>357</v>
      </c>
      <c r="E119" s="289" t="s">
        <v>358</v>
      </c>
      <c r="F119" s="289" t="s">
        <v>359</v>
      </c>
      <c r="I119" s="289" t="str">
        <f>("0165765")</f>
        <v>0165765</v>
      </c>
    </row>
    <row r="120" spans="1:9">
      <c r="A120" s="290">
        <v>165776</v>
      </c>
      <c r="B120" s="289" t="s">
        <v>29</v>
      </c>
      <c r="C120" s="289" t="s">
        <v>212</v>
      </c>
      <c r="D120" s="289" t="s">
        <v>360</v>
      </c>
      <c r="E120" s="289" t="s">
        <v>361</v>
      </c>
      <c r="F120" s="289" t="s">
        <v>362</v>
      </c>
      <c r="I120" s="289" t="str">
        <f>("0165776")</f>
        <v>0165776</v>
      </c>
    </row>
    <row r="121" spans="1:9">
      <c r="A121" s="290">
        <v>165798</v>
      </c>
      <c r="B121" s="289" t="s">
        <v>29</v>
      </c>
      <c r="C121" s="289" t="s">
        <v>212</v>
      </c>
      <c r="D121" s="289" t="s">
        <v>363</v>
      </c>
      <c r="E121" s="289" t="s">
        <v>364</v>
      </c>
      <c r="F121" s="289" t="s">
        <v>365</v>
      </c>
      <c r="I121" s="289" t="str">
        <f>("0165798")</f>
        <v>0165798</v>
      </c>
    </row>
    <row r="122" spans="1:9">
      <c r="A122" s="290">
        <v>165800</v>
      </c>
      <c r="B122" s="289" t="s">
        <v>29</v>
      </c>
      <c r="C122" s="289" t="s">
        <v>212</v>
      </c>
      <c r="D122" s="289" t="s">
        <v>4666</v>
      </c>
      <c r="E122" s="289" t="s">
        <v>4667</v>
      </c>
      <c r="F122" s="289" t="s">
        <v>4668</v>
      </c>
      <c r="I122" s="289" t="str">
        <f>("0165800")</f>
        <v>0165800</v>
      </c>
    </row>
    <row r="123" spans="1:9">
      <c r="A123" s="290">
        <v>165811</v>
      </c>
      <c r="B123" s="289" t="s">
        <v>29</v>
      </c>
      <c r="C123" s="289" t="s">
        <v>212</v>
      </c>
      <c r="D123" s="289" t="s">
        <v>366</v>
      </c>
      <c r="E123" s="289" t="s">
        <v>367</v>
      </c>
      <c r="F123" s="289" t="s">
        <v>368</v>
      </c>
      <c r="I123" s="289" t="str">
        <f>("0165811")</f>
        <v>0165811</v>
      </c>
    </row>
    <row r="124" spans="1:9">
      <c r="A124" s="290">
        <v>165822</v>
      </c>
      <c r="B124" s="289" t="s">
        <v>29</v>
      </c>
      <c r="C124" s="289" t="s">
        <v>212</v>
      </c>
      <c r="D124" s="289" t="s">
        <v>369</v>
      </c>
      <c r="E124" s="289" t="s">
        <v>370</v>
      </c>
      <c r="F124" s="289" t="s">
        <v>371</v>
      </c>
      <c r="I124" s="289" t="str">
        <f>("0165822")</f>
        <v>0165822</v>
      </c>
    </row>
    <row r="125" spans="1:9">
      <c r="A125" s="290">
        <v>165844</v>
      </c>
      <c r="B125" s="289" t="s">
        <v>29</v>
      </c>
      <c r="C125" s="289" t="s">
        <v>212</v>
      </c>
      <c r="D125" s="289" t="s">
        <v>4669</v>
      </c>
      <c r="E125" s="289" t="s">
        <v>4670</v>
      </c>
      <c r="F125" s="289" t="s">
        <v>4671</v>
      </c>
      <c r="I125" s="289" t="str">
        <f>("0165844")</f>
        <v>0165844</v>
      </c>
    </row>
    <row r="126" spans="1:9">
      <c r="A126" s="290">
        <v>165855</v>
      </c>
      <c r="B126" s="289" t="s">
        <v>29</v>
      </c>
      <c r="C126" s="289" t="s">
        <v>212</v>
      </c>
      <c r="D126" s="289" t="s">
        <v>372</v>
      </c>
      <c r="E126" s="289" t="s">
        <v>373</v>
      </c>
      <c r="F126" s="289" t="s">
        <v>374</v>
      </c>
      <c r="I126" s="289" t="str">
        <f>("0165855")</f>
        <v>0165855</v>
      </c>
    </row>
    <row r="127" spans="1:9">
      <c r="A127" s="290">
        <v>165866</v>
      </c>
      <c r="B127" s="289" t="s">
        <v>29</v>
      </c>
      <c r="C127" s="289" t="s">
        <v>212</v>
      </c>
      <c r="D127" s="289" t="s">
        <v>375</v>
      </c>
      <c r="E127" s="289" t="s">
        <v>376</v>
      </c>
      <c r="F127" s="289" t="s">
        <v>377</v>
      </c>
      <c r="I127" s="289" t="str">
        <f>("0165866")</f>
        <v>0165866</v>
      </c>
    </row>
    <row r="128" spans="1:9">
      <c r="A128" s="290">
        <v>165888</v>
      </c>
      <c r="B128" s="289" t="s">
        <v>29</v>
      </c>
      <c r="C128" s="289" t="s">
        <v>212</v>
      </c>
      <c r="D128" s="289" t="s">
        <v>378</v>
      </c>
      <c r="E128" s="289" t="s">
        <v>379</v>
      </c>
      <c r="F128" s="289" t="s">
        <v>380</v>
      </c>
      <c r="I128" s="289" t="str">
        <f>("0165888")</f>
        <v>0165888</v>
      </c>
    </row>
    <row r="129" spans="1:9">
      <c r="A129" s="290">
        <v>165899</v>
      </c>
      <c r="B129" s="289" t="s">
        <v>29</v>
      </c>
      <c r="C129" s="289" t="s">
        <v>212</v>
      </c>
      <c r="D129" s="289" t="s">
        <v>381</v>
      </c>
      <c r="E129" s="289" t="s">
        <v>382</v>
      </c>
      <c r="F129" s="289" t="s">
        <v>383</v>
      </c>
      <c r="I129" s="289" t="str">
        <f>("0165899")</f>
        <v>0165899</v>
      </c>
    </row>
    <row r="130" spans="1:9">
      <c r="A130" s="290">
        <v>165967</v>
      </c>
      <c r="B130" s="289" t="s">
        <v>29</v>
      </c>
      <c r="C130" s="289" t="s">
        <v>212</v>
      </c>
      <c r="D130" s="289" t="s">
        <v>384</v>
      </c>
      <c r="E130" s="289" t="s">
        <v>385</v>
      </c>
      <c r="F130" s="289" t="s">
        <v>386</v>
      </c>
      <c r="I130" s="289" t="str">
        <f>("0165967")</f>
        <v>0165967</v>
      </c>
    </row>
    <row r="131" spans="1:9">
      <c r="A131" s="290">
        <v>165978</v>
      </c>
      <c r="B131" s="289" t="s">
        <v>29</v>
      </c>
      <c r="C131" s="289" t="s">
        <v>212</v>
      </c>
      <c r="D131" s="289" t="s">
        <v>387</v>
      </c>
      <c r="E131" s="289" t="s">
        <v>388</v>
      </c>
      <c r="F131" s="289" t="s">
        <v>389</v>
      </c>
      <c r="I131" s="289" t="str">
        <f>("0165978")</f>
        <v>0165978</v>
      </c>
    </row>
    <row r="132" spans="1:9">
      <c r="A132" s="290">
        <v>165989</v>
      </c>
      <c r="B132" s="289" t="s">
        <v>29</v>
      </c>
      <c r="C132" s="289" t="s">
        <v>212</v>
      </c>
      <c r="D132" s="289" t="s">
        <v>390</v>
      </c>
      <c r="E132" s="289" t="s">
        <v>391</v>
      </c>
      <c r="F132" s="289" t="s">
        <v>392</v>
      </c>
      <c r="I132" s="289" t="str">
        <f>("0165989")</f>
        <v>0165989</v>
      </c>
    </row>
    <row r="133" spans="1:9">
      <c r="A133" s="290">
        <v>165990</v>
      </c>
      <c r="B133" s="289" t="s">
        <v>29</v>
      </c>
      <c r="C133" s="289" t="s">
        <v>212</v>
      </c>
      <c r="D133" s="289" t="s">
        <v>393</v>
      </c>
      <c r="E133" s="289" t="s">
        <v>394</v>
      </c>
      <c r="F133" s="289" t="s">
        <v>395</v>
      </c>
      <c r="I133" s="289" t="str">
        <f>("0165990")</f>
        <v>0165990</v>
      </c>
    </row>
    <row r="134" spans="1:9">
      <c r="A134" s="290">
        <v>166014</v>
      </c>
      <c r="B134" s="289" t="s">
        <v>29</v>
      </c>
      <c r="C134" s="289" t="s">
        <v>212</v>
      </c>
      <c r="D134" s="289" t="s">
        <v>396</v>
      </c>
      <c r="E134" s="289" t="s">
        <v>397</v>
      </c>
      <c r="F134" s="289" t="s">
        <v>398</v>
      </c>
      <c r="I134" s="289" t="str">
        <f>("0166014")</f>
        <v>0166014</v>
      </c>
    </row>
    <row r="135" spans="1:9">
      <c r="A135" s="290">
        <v>166025</v>
      </c>
      <c r="B135" s="289" t="s">
        <v>29</v>
      </c>
      <c r="C135" s="289" t="s">
        <v>212</v>
      </c>
      <c r="D135" s="289" t="s">
        <v>399</v>
      </c>
      <c r="E135" s="289" t="s">
        <v>400</v>
      </c>
      <c r="F135" s="289" t="s">
        <v>401</v>
      </c>
      <c r="I135" s="289" t="str">
        <f>("0166025")</f>
        <v>0166025</v>
      </c>
    </row>
    <row r="136" spans="1:9">
      <c r="A136" s="290">
        <v>166036</v>
      </c>
      <c r="B136" s="289" t="s">
        <v>29</v>
      </c>
      <c r="C136" s="289" t="s">
        <v>212</v>
      </c>
      <c r="D136" s="289" t="s">
        <v>402</v>
      </c>
      <c r="E136" s="289" t="s">
        <v>403</v>
      </c>
      <c r="F136" s="289" t="s">
        <v>404</v>
      </c>
      <c r="I136" s="289" t="str">
        <f>("0166036")</f>
        <v>0166036</v>
      </c>
    </row>
    <row r="137" spans="1:9">
      <c r="A137" s="290">
        <v>166047</v>
      </c>
      <c r="B137" s="289" t="s">
        <v>29</v>
      </c>
      <c r="C137" s="289" t="s">
        <v>212</v>
      </c>
      <c r="D137" s="289" t="s">
        <v>405</v>
      </c>
      <c r="E137" s="289" t="s">
        <v>406</v>
      </c>
      <c r="F137" s="289" t="s">
        <v>407</v>
      </c>
      <c r="I137" s="289" t="str">
        <f>("0166047")</f>
        <v>0166047</v>
      </c>
    </row>
    <row r="138" spans="1:9">
      <c r="A138" s="290">
        <v>166058</v>
      </c>
      <c r="B138" s="289" t="s">
        <v>29</v>
      </c>
      <c r="C138" s="289" t="s">
        <v>212</v>
      </c>
      <c r="D138" s="289" t="s">
        <v>408</v>
      </c>
      <c r="E138" s="289" t="s">
        <v>409</v>
      </c>
      <c r="F138" s="289" t="s">
        <v>410</v>
      </c>
      <c r="I138" s="289" t="str">
        <f>("0166058")</f>
        <v>0166058</v>
      </c>
    </row>
    <row r="139" spans="1:9">
      <c r="A139" s="290">
        <v>166069</v>
      </c>
      <c r="B139" s="289" t="s">
        <v>29</v>
      </c>
      <c r="C139" s="289" t="s">
        <v>212</v>
      </c>
      <c r="D139" s="289" t="s">
        <v>411</v>
      </c>
      <c r="E139" s="289" t="s">
        <v>412</v>
      </c>
      <c r="F139" s="289" t="s">
        <v>413</v>
      </c>
      <c r="I139" s="289" t="str">
        <f>("0166069")</f>
        <v>0166069</v>
      </c>
    </row>
    <row r="140" spans="1:9">
      <c r="A140" s="290">
        <v>166070</v>
      </c>
      <c r="B140" s="289" t="s">
        <v>29</v>
      </c>
      <c r="C140" s="289" t="s">
        <v>212</v>
      </c>
      <c r="D140" s="289" t="s">
        <v>414</v>
      </c>
      <c r="E140" s="289" t="s">
        <v>415</v>
      </c>
      <c r="F140" s="289" t="s">
        <v>416</v>
      </c>
      <c r="I140" s="289" t="str">
        <f>("0166070")</f>
        <v>0166070</v>
      </c>
    </row>
    <row r="141" spans="1:9">
      <c r="A141" s="290">
        <v>166081</v>
      </c>
      <c r="B141" s="289" t="s">
        <v>29</v>
      </c>
      <c r="C141" s="289" t="s">
        <v>212</v>
      </c>
      <c r="D141" s="289" t="s">
        <v>417</v>
      </c>
      <c r="E141" s="289" t="s">
        <v>418</v>
      </c>
      <c r="F141" s="289" t="s">
        <v>419</v>
      </c>
      <c r="I141" s="289" t="str">
        <f>("0166081")</f>
        <v>0166081</v>
      </c>
    </row>
    <row r="142" spans="1:9">
      <c r="A142" s="290">
        <v>166092</v>
      </c>
      <c r="B142" s="289" t="s">
        <v>29</v>
      </c>
      <c r="C142" s="289" t="s">
        <v>212</v>
      </c>
      <c r="D142" s="289" t="s">
        <v>420</v>
      </c>
      <c r="E142" s="289" t="s">
        <v>421</v>
      </c>
      <c r="F142" s="289" t="s">
        <v>422</v>
      </c>
      <c r="I142" s="289" t="str">
        <f>("0166092")</f>
        <v>0166092</v>
      </c>
    </row>
    <row r="143" spans="1:9">
      <c r="A143" s="290">
        <v>166104</v>
      </c>
      <c r="B143" s="289" t="s">
        <v>29</v>
      </c>
      <c r="C143" s="289" t="s">
        <v>212</v>
      </c>
      <c r="D143" s="289" t="s">
        <v>423</v>
      </c>
      <c r="E143" s="289" t="s">
        <v>424</v>
      </c>
      <c r="F143" s="289" t="s">
        <v>425</v>
      </c>
      <c r="I143" s="289" t="str">
        <f>("0166104")</f>
        <v>0166104</v>
      </c>
    </row>
    <row r="144" spans="1:9">
      <c r="A144" s="290">
        <v>166115</v>
      </c>
      <c r="B144" s="289" t="s">
        <v>29</v>
      </c>
      <c r="C144" s="289" t="s">
        <v>212</v>
      </c>
      <c r="D144" s="289" t="s">
        <v>426</v>
      </c>
      <c r="E144" s="289" t="s">
        <v>427</v>
      </c>
      <c r="F144" s="289" t="s">
        <v>428</v>
      </c>
      <c r="I144" s="289" t="str">
        <f>("0166115")</f>
        <v>0166115</v>
      </c>
    </row>
    <row r="145" spans="1:9">
      <c r="A145" s="290">
        <v>166148</v>
      </c>
      <c r="B145" s="289" t="s">
        <v>29</v>
      </c>
      <c r="C145" s="289" t="s">
        <v>212</v>
      </c>
      <c r="D145" s="289" t="s">
        <v>429</v>
      </c>
      <c r="E145" s="289" t="s">
        <v>430</v>
      </c>
      <c r="F145" s="289" t="s">
        <v>431</v>
      </c>
      <c r="I145" s="289" t="str">
        <f>("0166148")</f>
        <v>0166148</v>
      </c>
    </row>
    <row r="146" spans="1:9">
      <c r="A146" s="290">
        <v>166159</v>
      </c>
      <c r="B146" s="289" t="s">
        <v>29</v>
      </c>
      <c r="C146" s="289" t="s">
        <v>212</v>
      </c>
      <c r="D146" s="289" t="s">
        <v>432</v>
      </c>
      <c r="E146" s="289" t="s">
        <v>433</v>
      </c>
      <c r="F146" s="289" t="s">
        <v>434</v>
      </c>
      <c r="I146" s="289" t="str">
        <f>("0166159")</f>
        <v>0166159</v>
      </c>
    </row>
    <row r="147" spans="1:9">
      <c r="A147" s="290">
        <v>166182</v>
      </c>
      <c r="B147" s="289" t="s">
        <v>29</v>
      </c>
      <c r="C147" s="289" t="s">
        <v>212</v>
      </c>
      <c r="D147" s="289" t="s">
        <v>435</v>
      </c>
      <c r="E147" s="289" t="s">
        <v>436</v>
      </c>
      <c r="F147" s="289" t="s">
        <v>437</v>
      </c>
      <c r="I147" s="289" t="str">
        <f>("0166182")</f>
        <v>0166182</v>
      </c>
    </row>
    <row r="148" spans="1:9">
      <c r="A148" s="290">
        <v>166193</v>
      </c>
      <c r="B148" s="289" t="s">
        <v>29</v>
      </c>
      <c r="C148" s="289" t="s">
        <v>212</v>
      </c>
      <c r="D148" s="289" t="s">
        <v>438</v>
      </c>
      <c r="E148" s="289" t="s">
        <v>439</v>
      </c>
      <c r="F148" s="289" t="s">
        <v>440</v>
      </c>
      <c r="I148" s="289" t="str">
        <f>("0166193")</f>
        <v>0166193</v>
      </c>
    </row>
    <row r="149" spans="1:9">
      <c r="A149" s="290">
        <v>166205</v>
      </c>
      <c r="B149" s="289" t="s">
        <v>29</v>
      </c>
      <c r="C149" s="289" t="s">
        <v>212</v>
      </c>
      <c r="D149" s="289" t="s">
        <v>441</v>
      </c>
      <c r="E149" s="289" t="s">
        <v>442</v>
      </c>
      <c r="F149" s="289" t="s">
        <v>443</v>
      </c>
      <c r="I149" s="289" t="str">
        <f>("0166205")</f>
        <v>0166205</v>
      </c>
    </row>
    <row r="150" spans="1:9">
      <c r="A150" s="290">
        <v>166216</v>
      </c>
      <c r="B150" s="289" t="s">
        <v>29</v>
      </c>
      <c r="C150" s="289" t="s">
        <v>212</v>
      </c>
      <c r="D150" s="289" t="s">
        <v>444</v>
      </c>
      <c r="E150" s="289" t="s">
        <v>445</v>
      </c>
      <c r="F150" s="289" t="s">
        <v>446</v>
      </c>
      <c r="I150" s="289" t="str">
        <f>("0166216")</f>
        <v>0166216</v>
      </c>
    </row>
    <row r="151" spans="1:9">
      <c r="A151" s="290">
        <v>166227</v>
      </c>
      <c r="B151" s="289" t="s">
        <v>29</v>
      </c>
      <c r="C151" s="289" t="s">
        <v>212</v>
      </c>
      <c r="D151" s="289" t="s">
        <v>447</v>
      </c>
      <c r="E151" s="289" t="s">
        <v>448</v>
      </c>
      <c r="F151" s="289" t="s">
        <v>449</v>
      </c>
      <c r="I151" s="289" t="str">
        <f>("0166227")</f>
        <v>0166227</v>
      </c>
    </row>
    <row r="152" spans="1:9">
      <c r="A152" s="290">
        <v>166238</v>
      </c>
      <c r="B152" s="289" t="s">
        <v>29</v>
      </c>
      <c r="C152" s="289" t="s">
        <v>212</v>
      </c>
      <c r="D152" s="289" t="s">
        <v>450</v>
      </c>
      <c r="E152" s="289" t="s">
        <v>451</v>
      </c>
      <c r="F152" s="289" t="s">
        <v>452</v>
      </c>
      <c r="I152" s="289" t="str">
        <f>("0166238")</f>
        <v>0166238</v>
      </c>
    </row>
    <row r="153" spans="1:9">
      <c r="A153" s="290">
        <v>166249</v>
      </c>
      <c r="B153" s="289" t="s">
        <v>29</v>
      </c>
      <c r="C153" s="289" t="s">
        <v>212</v>
      </c>
      <c r="D153" s="289" t="s">
        <v>453</v>
      </c>
      <c r="E153" s="289" t="s">
        <v>454</v>
      </c>
      <c r="F153" s="289" t="s">
        <v>4858</v>
      </c>
      <c r="I153" s="289" t="str">
        <f>("0166249")</f>
        <v>0166249</v>
      </c>
    </row>
    <row r="154" spans="1:9">
      <c r="A154" s="290">
        <v>166250</v>
      </c>
      <c r="B154" s="289" t="s">
        <v>29</v>
      </c>
      <c r="C154" s="289" t="s">
        <v>212</v>
      </c>
      <c r="D154" s="289" t="s">
        <v>455</v>
      </c>
      <c r="E154" s="289" t="s">
        <v>456</v>
      </c>
      <c r="F154" s="289" t="s">
        <v>457</v>
      </c>
      <c r="I154" s="289" t="str">
        <f>("0166250")</f>
        <v>0166250</v>
      </c>
    </row>
    <row r="155" spans="1:9">
      <c r="A155" s="290">
        <v>166261</v>
      </c>
      <c r="B155" s="289" t="s">
        <v>29</v>
      </c>
      <c r="C155" s="289" t="s">
        <v>212</v>
      </c>
      <c r="D155" s="289" t="s">
        <v>458</v>
      </c>
      <c r="E155" s="289" t="s">
        <v>459</v>
      </c>
      <c r="F155" s="289" t="s">
        <v>460</v>
      </c>
      <c r="I155" s="289" t="str">
        <f>("0166261")</f>
        <v>0166261</v>
      </c>
    </row>
    <row r="156" spans="1:9">
      <c r="A156" s="290">
        <v>166294</v>
      </c>
      <c r="B156" s="289" t="s">
        <v>29</v>
      </c>
      <c r="C156" s="289" t="s">
        <v>212</v>
      </c>
      <c r="D156" s="289" t="s">
        <v>461</v>
      </c>
      <c r="E156" s="289" t="s">
        <v>462</v>
      </c>
      <c r="F156" s="289" t="s">
        <v>463</v>
      </c>
      <c r="I156" s="289" t="str">
        <f>("0166294")</f>
        <v>0166294</v>
      </c>
    </row>
    <row r="157" spans="1:9">
      <c r="A157" s="290">
        <v>166306</v>
      </c>
      <c r="B157" s="289" t="s">
        <v>29</v>
      </c>
      <c r="C157" s="289" t="s">
        <v>212</v>
      </c>
      <c r="D157" s="289" t="s">
        <v>464</v>
      </c>
      <c r="E157" s="289" t="s">
        <v>465</v>
      </c>
      <c r="F157" s="289" t="s">
        <v>5232</v>
      </c>
      <c r="I157" s="289" t="str">
        <f>("0166306")</f>
        <v>0166306</v>
      </c>
    </row>
    <row r="158" spans="1:9">
      <c r="A158" s="290">
        <v>166317</v>
      </c>
      <c r="B158" s="289" t="s">
        <v>29</v>
      </c>
      <c r="C158" s="289" t="s">
        <v>212</v>
      </c>
      <c r="D158" s="289" t="s">
        <v>466</v>
      </c>
      <c r="E158" s="289" t="s">
        <v>467</v>
      </c>
      <c r="F158" s="289" t="s">
        <v>468</v>
      </c>
      <c r="I158" s="289" t="str">
        <f>("0166317")</f>
        <v>0166317</v>
      </c>
    </row>
    <row r="159" spans="1:9">
      <c r="A159" s="290">
        <v>166351</v>
      </c>
      <c r="B159" s="289" t="s">
        <v>29</v>
      </c>
      <c r="C159" s="289" t="s">
        <v>212</v>
      </c>
      <c r="D159" s="289" t="s">
        <v>469</v>
      </c>
      <c r="E159" s="289" t="s">
        <v>470</v>
      </c>
      <c r="F159" s="289" t="s">
        <v>471</v>
      </c>
      <c r="I159" s="289" t="str">
        <f>("0166351")</f>
        <v>0166351</v>
      </c>
    </row>
    <row r="160" spans="1:9">
      <c r="A160" s="290">
        <v>166362</v>
      </c>
      <c r="B160" s="289" t="s">
        <v>29</v>
      </c>
      <c r="C160" s="289" t="s">
        <v>212</v>
      </c>
      <c r="D160" s="289" t="s">
        <v>472</v>
      </c>
      <c r="E160" s="289" t="s">
        <v>473</v>
      </c>
      <c r="F160" s="289" t="s">
        <v>4859</v>
      </c>
      <c r="I160" s="289" t="str">
        <f>("0166362")</f>
        <v>0166362</v>
      </c>
    </row>
    <row r="161" spans="1:9">
      <c r="A161" s="290">
        <v>166373</v>
      </c>
      <c r="B161" s="289" t="s">
        <v>29</v>
      </c>
      <c r="C161" s="289" t="s">
        <v>212</v>
      </c>
      <c r="D161" s="289" t="s">
        <v>474</v>
      </c>
      <c r="E161" s="289" t="s">
        <v>475</v>
      </c>
      <c r="F161" s="289" t="s">
        <v>476</v>
      </c>
      <c r="I161" s="289" t="str">
        <f>("0166373")</f>
        <v>0166373</v>
      </c>
    </row>
    <row r="162" spans="1:9">
      <c r="A162" s="290">
        <v>166384</v>
      </c>
      <c r="B162" s="289" t="s">
        <v>29</v>
      </c>
      <c r="C162" s="289" t="s">
        <v>212</v>
      </c>
      <c r="D162" s="289" t="s">
        <v>477</v>
      </c>
      <c r="E162" s="289" t="s">
        <v>478</v>
      </c>
      <c r="F162" s="289" t="s">
        <v>479</v>
      </c>
      <c r="I162" s="289" t="str">
        <f>("0166384")</f>
        <v>0166384</v>
      </c>
    </row>
    <row r="163" spans="1:9">
      <c r="A163" s="290">
        <v>166395</v>
      </c>
      <c r="B163" s="289" t="s">
        <v>29</v>
      </c>
      <c r="C163" s="289" t="s">
        <v>212</v>
      </c>
      <c r="D163" s="289" t="s">
        <v>480</v>
      </c>
      <c r="E163" s="289" t="s">
        <v>481</v>
      </c>
      <c r="F163" s="289" t="s">
        <v>482</v>
      </c>
      <c r="I163" s="289" t="str">
        <f>("0166395")</f>
        <v>0166395</v>
      </c>
    </row>
    <row r="164" spans="1:9">
      <c r="A164" s="290">
        <v>166407</v>
      </c>
      <c r="B164" s="289" t="s">
        <v>29</v>
      </c>
      <c r="C164" s="289" t="s">
        <v>212</v>
      </c>
      <c r="D164" s="289" t="s">
        <v>483</v>
      </c>
      <c r="E164" s="289" t="s">
        <v>484</v>
      </c>
      <c r="F164" s="289" t="s">
        <v>485</v>
      </c>
      <c r="I164" s="289" t="str">
        <f>("0166407")</f>
        <v>0166407</v>
      </c>
    </row>
    <row r="165" spans="1:9">
      <c r="A165" s="290">
        <v>166429</v>
      </c>
      <c r="B165" s="289" t="s">
        <v>29</v>
      </c>
      <c r="C165" s="289" t="s">
        <v>212</v>
      </c>
      <c r="D165" s="289" t="s">
        <v>486</v>
      </c>
      <c r="E165" s="289" t="s">
        <v>487</v>
      </c>
      <c r="F165" s="289" t="s">
        <v>488</v>
      </c>
      <c r="I165" s="289" t="str">
        <f>("0166429")</f>
        <v>0166429</v>
      </c>
    </row>
    <row r="166" spans="1:9">
      <c r="A166" s="290">
        <v>166430</v>
      </c>
      <c r="B166" s="289" t="s">
        <v>29</v>
      </c>
      <c r="C166" s="289" t="s">
        <v>212</v>
      </c>
      <c r="D166" s="289" t="s">
        <v>489</v>
      </c>
      <c r="E166" s="289" t="s">
        <v>490</v>
      </c>
      <c r="F166" s="289" t="s">
        <v>491</v>
      </c>
      <c r="I166" s="289" t="str">
        <f>("0166430")</f>
        <v>0166430</v>
      </c>
    </row>
    <row r="167" spans="1:9">
      <c r="A167" s="290">
        <v>166441</v>
      </c>
      <c r="B167" s="289" t="s">
        <v>29</v>
      </c>
      <c r="C167" s="289" t="s">
        <v>212</v>
      </c>
      <c r="D167" s="289" t="s">
        <v>492</v>
      </c>
      <c r="E167" s="289" t="s">
        <v>493</v>
      </c>
      <c r="F167" s="289" t="s">
        <v>494</v>
      </c>
      <c r="I167" s="289" t="str">
        <f>("0166441")</f>
        <v>0166441</v>
      </c>
    </row>
    <row r="168" spans="1:9">
      <c r="A168" s="290">
        <v>166452</v>
      </c>
      <c r="B168" s="289" t="s">
        <v>29</v>
      </c>
      <c r="C168" s="289" t="s">
        <v>212</v>
      </c>
      <c r="D168" s="289" t="s">
        <v>495</v>
      </c>
      <c r="E168" s="289" t="s">
        <v>496</v>
      </c>
      <c r="F168" s="289" t="s">
        <v>4672</v>
      </c>
      <c r="I168" s="289" t="str">
        <f>("0166452")</f>
        <v>0166452</v>
      </c>
    </row>
    <row r="169" spans="1:9">
      <c r="A169" s="290">
        <v>166463</v>
      </c>
      <c r="B169" s="289" t="s">
        <v>29</v>
      </c>
      <c r="C169" s="289" t="s">
        <v>212</v>
      </c>
      <c r="D169" s="289" t="s">
        <v>497</v>
      </c>
      <c r="E169" s="289" t="s">
        <v>498</v>
      </c>
      <c r="F169" s="289" t="s">
        <v>499</v>
      </c>
      <c r="I169" s="289" t="str">
        <f>("0166463")</f>
        <v>0166463</v>
      </c>
    </row>
    <row r="170" spans="1:9">
      <c r="A170" s="290">
        <v>166474</v>
      </c>
      <c r="B170" s="289" t="s">
        <v>29</v>
      </c>
      <c r="C170" s="289" t="s">
        <v>212</v>
      </c>
      <c r="D170" s="289" t="s">
        <v>500</v>
      </c>
      <c r="E170" s="289" t="s">
        <v>4860</v>
      </c>
      <c r="F170" s="289" t="s">
        <v>4861</v>
      </c>
      <c r="I170" s="289" t="str">
        <f>("0166474")</f>
        <v>0166474</v>
      </c>
    </row>
    <row r="171" spans="1:9">
      <c r="A171" s="290">
        <v>166485</v>
      </c>
      <c r="B171" s="289" t="s">
        <v>29</v>
      </c>
      <c r="C171" s="289" t="s">
        <v>212</v>
      </c>
      <c r="D171" s="289" t="s">
        <v>501</v>
      </c>
      <c r="E171" s="289" t="s">
        <v>502</v>
      </c>
      <c r="F171" s="289" t="s">
        <v>503</v>
      </c>
      <c r="I171" s="289" t="str">
        <f>("0166485")</f>
        <v>0166485</v>
      </c>
    </row>
    <row r="172" spans="1:9">
      <c r="A172" s="290">
        <v>166496</v>
      </c>
      <c r="B172" s="289" t="s">
        <v>29</v>
      </c>
      <c r="C172" s="289" t="s">
        <v>212</v>
      </c>
      <c r="D172" s="289" t="s">
        <v>504</v>
      </c>
      <c r="E172" s="289" t="s">
        <v>505</v>
      </c>
      <c r="F172" s="289" t="s">
        <v>506</v>
      </c>
      <c r="I172" s="289" t="str">
        <f>("0166496")</f>
        <v>0166496</v>
      </c>
    </row>
    <row r="173" spans="1:9">
      <c r="A173" s="290">
        <v>166508</v>
      </c>
      <c r="B173" s="289" t="s">
        <v>29</v>
      </c>
      <c r="C173" s="289" t="s">
        <v>212</v>
      </c>
      <c r="D173" s="289" t="s">
        <v>507</v>
      </c>
      <c r="E173" s="289" t="s">
        <v>508</v>
      </c>
      <c r="F173" s="289" t="s">
        <v>509</v>
      </c>
      <c r="I173" s="289" t="str">
        <f>("0166508")</f>
        <v>0166508</v>
      </c>
    </row>
    <row r="174" spans="1:9">
      <c r="A174" s="290">
        <v>166520</v>
      </c>
      <c r="B174" s="289" t="s">
        <v>29</v>
      </c>
      <c r="C174" s="289" t="s">
        <v>212</v>
      </c>
      <c r="D174" s="289" t="s">
        <v>510</v>
      </c>
      <c r="E174" s="289" t="s">
        <v>511</v>
      </c>
      <c r="F174" s="289" t="s">
        <v>512</v>
      </c>
      <c r="I174" s="289" t="str">
        <f>("0166520")</f>
        <v>0166520</v>
      </c>
    </row>
    <row r="175" spans="1:9">
      <c r="A175" s="290">
        <v>166531</v>
      </c>
      <c r="B175" s="289" t="s">
        <v>29</v>
      </c>
      <c r="C175" s="289" t="s">
        <v>212</v>
      </c>
      <c r="D175" s="289" t="s">
        <v>513</v>
      </c>
      <c r="E175" s="289" t="s">
        <v>514</v>
      </c>
      <c r="F175" s="289" t="s">
        <v>515</v>
      </c>
      <c r="I175" s="289" t="str">
        <f>("0166531")</f>
        <v>0166531</v>
      </c>
    </row>
    <row r="176" spans="1:9">
      <c r="A176" s="290">
        <v>166542</v>
      </c>
      <c r="B176" s="289" t="s">
        <v>29</v>
      </c>
      <c r="C176" s="289" t="s">
        <v>212</v>
      </c>
      <c r="D176" s="289" t="s">
        <v>516</v>
      </c>
      <c r="E176" s="289" t="s">
        <v>517</v>
      </c>
      <c r="F176" s="289" t="s">
        <v>518</v>
      </c>
      <c r="I176" s="289" t="str">
        <f>("0166542")</f>
        <v>0166542</v>
      </c>
    </row>
    <row r="177" spans="1:9">
      <c r="A177" s="290">
        <v>166564</v>
      </c>
      <c r="B177" s="289" t="s">
        <v>29</v>
      </c>
      <c r="C177" s="289" t="s">
        <v>212</v>
      </c>
      <c r="D177" s="289" t="s">
        <v>519</v>
      </c>
      <c r="E177" s="289" t="s">
        <v>520</v>
      </c>
      <c r="F177" s="289" t="s">
        <v>521</v>
      </c>
      <c r="I177" s="289" t="str">
        <f>("0166564")</f>
        <v>0166564</v>
      </c>
    </row>
    <row r="178" spans="1:9">
      <c r="A178" s="290">
        <v>166586</v>
      </c>
      <c r="B178" s="289" t="s">
        <v>29</v>
      </c>
      <c r="C178" s="289" t="s">
        <v>212</v>
      </c>
      <c r="D178" s="289" t="s">
        <v>522</v>
      </c>
      <c r="E178" s="289" t="s">
        <v>523</v>
      </c>
      <c r="F178" s="289" t="s">
        <v>524</v>
      </c>
      <c r="I178" s="289" t="str">
        <f>("0166586")</f>
        <v>0166586</v>
      </c>
    </row>
    <row r="179" spans="1:9">
      <c r="A179" s="290">
        <v>166597</v>
      </c>
      <c r="B179" s="289" t="s">
        <v>29</v>
      </c>
      <c r="C179" s="289" t="s">
        <v>212</v>
      </c>
      <c r="D179" s="289" t="s">
        <v>525</v>
      </c>
      <c r="E179" s="289" t="s">
        <v>526</v>
      </c>
      <c r="F179" s="289" t="s">
        <v>527</v>
      </c>
      <c r="I179" s="289" t="str">
        <f>("0166597")</f>
        <v>0166597</v>
      </c>
    </row>
    <row r="180" spans="1:9">
      <c r="A180" s="290">
        <v>166609</v>
      </c>
      <c r="B180" s="289" t="s">
        <v>29</v>
      </c>
      <c r="C180" s="289" t="s">
        <v>212</v>
      </c>
      <c r="D180" s="289" t="s">
        <v>528</v>
      </c>
      <c r="E180" s="289" t="s">
        <v>529</v>
      </c>
      <c r="F180" s="289" t="s">
        <v>530</v>
      </c>
      <c r="I180" s="289" t="str">
        <f>("0166609")</f>
        <v>0166609</v>
      </c>
    </row>
    <row r="181" spans="1:9">
      <c r="A181" s="290">
        <v>166610</v>
      </c>
      <c r="B181" s="289" t="s">
        <v>29</v>
      </c>
      <c r="C181" s="289" t="s">
        <v>212</v>
      </c>
      <c r="D181" s="289" t="s">
        <v>531</v>
      </c>
      <c r="E181" s="289" t="s">
        <v>532</v>
      </c>
      <c r="F181" s="289" t="s">
        <v>533</v>
      </c>
      <c r="I181" s="289" t="str">
        <f>("0166610")</f>
        <v>0166610</v>
      </c>
    </row>
    <row r="182" spans="1:9">
      <c r="A182" s="290">
        <v>166632</v>
      </c>
      <c r="B182" s="289" t="s">
        <v>29</v>
      </c>
      <c r="C182" s="289" t="s">
        <v>212</v>
      </c>
      <c r="D182" s="289" t="s">
        <v>534</v>
      </c>
      <c r="E182" s="289" t="s">
        <v>535</v>
      </c>
      <c r="F182" s="289" t="s">
        <v>536</v>
      </c>
      <c r="I182" s="289" t="str">
        <f>("0166632")</f>
        <v>0166632</v>
      </c>
    </row>
    <row r="183" spans="1:9">
      <c r="A183" s="290">
        <v>166643</v>
      </c>
      <c r="B183" s="289" t="s">
        <v>29</v>
      </c>
      <c r="C183" s="289" t="s">
        <v>212</v>
      </c>
      <c r="D183" s="289" t="s">
        <v>537</v>
      </c>
      <c r="E183" s="289" t="s">
        <v>538</v>
      </c>
      <c r="F183" s="289" t="s">
        <v>539</v>
      </c>
      <c r="I183" s="289" t="str">
        <f>("0166643")</f>
        <v>0166643</v>
      </c>
    </row>
    <row r="184" spans="1:9">
      <c r="A184" s="290">
        <v>166654</v>
      </c>
      <c r="B184" s="289" t="s">
        <v>29</v>
      </c>
      <c r="C184" s="289" t="s">
        <v>212</v>
      </c>
      <c r="D184" s="289" t="s">
        <v>540</v>
      </c>
      <c r="E184" s="289" t="s">
        <v>541</v>
      </c>
      <c r="F184" s="289" t="s">
        <v>542</v>
      </c>
      <c r="I184" s="289" t="str">
        <f>("0166654")</f>
        <v>0166654</v>
      </c>
    </row>
    <row r="185" spans="1:9">
      <c r="A185" s="290">
        <v>166665</v>
      </c>
      <c r="B185" s="289" t="s">
        <v>29</v>
      </c>
      <c r="C185" s="289" t="s">
        <v>212</v>
      </c>
      <c r="D185" s="289" t="s">
        <v>543</v>
      </c>
      <c r="E185" s="289" t="s">
        <v>544</v>
      </c>
      <c r="F185" s="289" t="s">
        <v>545</v>
      </c>
      <c r="I185" s="289" t="str">
        <f>("0166665")</f>
        <v>0166665</v>
      </c>
    </row>
    <row r="186" spans="1:9">
      <c r="A186" s="290">
        <v>166676</v>
      </c>
      <c r="B186" s="289" t="s">
        <v>29</v>
      </c>
      <c r="C186" s="289" t="s">
        <v>212</v>
      </c>
      <c r="D186" s="289" t="s">
        <v>546</v>
      </c>
      <c r="E186" s="289" t="s">
        <v>547</v>
      </c>
      <c r="F186" s="289" t="s">
        <v>548</v>
      </c>
      <c r="I186" s="289" t="str">
        <f>("0166676")</f>
        <v>0166676</v>
      </c>
    </row>
    <row r="187" spans="1:9">
      <c r="A187" s="290">
        <v>166687</v>
      </c>
      <c r="B187" s="289" t="s">
        <v>29</v>
      </c>
      <c r="C187" s="289" t="s">
        <v>212</v>
      </c>
      <c r="D187" s="289" t="s">
        <v>549</v>
      </c>
      <c r="E187" s="289" t="s">
        <v>550</v>
      </c>
      <c r="F187" s="289" t="s">
        <v>551</v>
      </c>
      <c r="I187" s="289" t="str">
        <f>("0166687")</f>
        <v>0166687</v>
      </c>
    </row>
    <row r="188" spans="1:9">
      <c r="A188" s="290">
        <v>166698</v>
      </c>
      <c r="B188" s="289" t="s">
        <v>29</v>
      </c>
      <c r="C188" s="289" t="s">
        <v>212</v>
      </c>
      <c r="D188" s="289" t="s">
        <v>552</v>
      </c>
      <c r="E188" s="289" t="s">
        <v>553</v>
      </c>
      <c r="F188" s="289" t="s">
        <v>554</v>
      </c>
      <c r="I188" s="289" t="str">
        <f>("0166698")</f>
        <v>0166698</v>
      </c>
    </row>
    <row r="189" spans="1:9">
      <c r="A189" s="290">
        <v>166700</v>
      </c>
      <c r="B189" s="289" t="s">
        <v>29</v>
      </c>
      <c r="C189" s="289" t="s">
        <v>212</v>
      </c>
      <c r="D189" s="289" t="s">
        <v>555</v>
      </c>
      <c r="E189" s="289" t="s">
        <v>556</v>
      </c>
      <c r="F189" s="289" t="s">
        <v>557</v>
      </c>
      <c r="I189" s="289" t="str">
        <f>("0166700")</f>
        <v>0166700</v>
      </c>
    </row>
    <row r="190" spans="1:9">
      <c r="A190" s="290">
        <v>166711</v>
      </c>
      <c r="B190" s="289" t="s">
        <v>29</v>
      </c>
      <c r="C190" s="289" t="s">
        <v>212</v>
      </c>
      <c r="D190" s="289" t="s">
        <v>558</v>
      </c>
      <c r="E190" s="289" t="s">
        <v>559</v>
      </c>
      <c r="F190" s="289" t="s">
        <v>560</v>
      </c>
      <c r="I190" s="289" t="str">
        <f>("0166711")</f>
        <v>0166711</v>
      </c>
    </row>
    <row r="191" spans="1:9">
      <c r="A191" s="290">
        <v>166722</v>
      </c>
      <c r="B191" s="289" t="s">
        <v>29</v>
      </c>
      <c r="C191" s="289" t="s">
        <v>212</v>
      </c>
      <c r="D191" s="289" t="s">
        <v>561</v>
      </c>
      <c r="E191" s="289" t="s">
        <v>562</v>
      </c>
      <c r="F191" s="289" t="s">
        <v>563</v>
      </c>
      <c r="I191" s="289" t="str">
        <f>("0166722")</f>
        <v>0166722</v>
      </c>
    </row>
    <row r="192" spans="1:9">
      <c r="A192" s="290">
        <v>166733</v>
      </c>
      <c r="B192" s="289" t="s">
        <v>29</v>
      </c>
      <c r="C192" s="289" t="s">
        <v>212</v>
      </c>
      <c r="D192" s="289" t="s">
        <v>564</v>
      </c>
      <c r="E192" s="289" t="s">
        <v>565</v>
      </c>
      <c r="F192" s="289" t="s">
        <v>566</v>
      </c>
      <c r="I192" s="289" t="str">
        <f>("0166733")</f>
        <v>0166733</v>
      </c>
    </row>
    <row r="193" spans="1:9">
      <c r="A193" s="290">
        <v>166744</v>
      </c>
      <c r="B193" s="289" t="s">
        <v>29</v>
      </c>
      <c r="C193" s="289" t="s">
        <v>212</v>
      </c>
      <c r="D193" s="289" t="s">
        <v>567</v>
      </c>
      <c r="E193" s="289" t="s">
        <v>568</v>
      </c>
      <c r="F193" s="289" t="s">
        <v>569</v>
      </c>
      <c r="I193" s="289" t="str">
        <f>("0166744")</f>
        <v>0166744</v>
      </c>
    </row>
    <row r="194" spans="1:9">
      <c r="A194" s="290">
        <v>166755</v>
      </c>
      <c r="B194" s="289" t="s">
        <v>29</v>
      </c>
      <c r="C194" s="289" t="s">
        <v>212</v>
      </c>
      <c r="D194" s="289" t="s">
        <v>570</v>
      </c>
      <c r="E194" s="289" t="s">
        <v>571</v>
      </c>
      <c r="F194" s="289" t="s">
        <v>572</v>
      </c>
      <c r="I194" s="289" t="str">
        <f>("0166755")</f>
        <v>0166755</v>
      </c>
    </row>
    <row r="195" spans="1:9">
      <c r="A195" s="290">
        <v>166766</v>
      </c>
      <c r="B195" s="289" t="s">
        <v>29</v>
      </c>
      <c r="C195" s="289" t="s">
        <v>212</v>
      </c>
      <c r="D195" s="289" t="s">
        <v>573</v>
      </c>
      <c r="E195" s="289" t="s">
        <v>574</v>
      </c>
      <c r="F195" s="289" t="s">
        <v>575</v>
      </c>
      <c r="I195" s="289" t="str">
        <f>("0166766")</f>
        <v>0166766</v>
      </c>
    </row>
    <row r="196" spans="1:9">
      <c r="A196" s="290">
        <v>166777</v>
      </c>
      <c r="B196" s="289" t="s">
        <v>29</v>
      </c>
      <c r="C196" s="289" t="s">
        <v>212</v>
      </c>
      <c r="D196" s="289" t="s">
        <v>576</v>
      </c>
      <c r="E196" s="289" t="s">
        <v>577</v>
      </c>
      <c r="F196" s="289" t="s">
        <v>578</v>
      </c>
      <c r="I196" s="289" t="str">
        <f>("0166777")</f>
        <v>0166777</v>
      </c>
    </row>
    <row r="197" spans="1:9">
      <c r="A197" s="290">
        <v>166788</v>
      </c>
      <c r="B197" s="289" t="s">
        <v>29</v>
      </c>
      <c r="C197" s="289" t="s">
        <v>212</v>
      </c>
      <c r="D197" s="289" t="s">
        <v>579</v>
      </c>
      <c r="E197" s="289" t="s">
        <v>580</v>
      </c>
      <c r="F197" s="289" t="s">
        <v>581</v>
      </c>
      <c r="I197" s="289" t="str">
        <f>("0166788")</f>
        <v>0166788</v>
      </c>
    </row>
    <row r="198" spans="1:9">
      <c r="A198" s="290">
        <v>166799</v>
      </c>
      <c r="B198" s="289" t="s">
        <v>29</v>
      </c>
      <c r="C198" s="289" t="s">
        <v>212</v>
      </c>
      <c r="D198" s="289" t="s">
        <v>582</v>
      </c>
      <c r="E198" s="289" t="s">
        <v>583</v>
      </c>
      <c r="F198" s="289" t="s">
        <v>584</v>
      </c>
      <c r="I198" s="289" t="str">
        <f>("0166799")</f>
        <v>0166799</v>
      </c>
    </row>
    <row r="199" spans="1:9">
      <c r="A199" s="290">
        <v>166801</v>
      </c>
      <c r="B199" s="289" t="s">
        <v>29</v>
      </c>
      <c r="C199" s="289" t="s">
        <v>212</v>
      </c>
      <c r="D199" s="289" t="s">
        <v>585</v>
      </c>
      <c r="E199" s="289" t="s">
        <v>586</v>
      </c>
      <c r="F199" s="289" t="s">
        <v>587</v>
      </c>
      <c r="I199" s="289" t="str">
        <f>("0166801")</f>
        <v>0166801</v>
      </c>
    </row>
    <row r="200" spans="1:9">
      <c r="A200" s="290">
        <v>166812</v>
      </c>
      <c r="B200" s="289" t="s">
        <v>29</v>
      </c>
      <c r="C200" s="289" t="s">
        <v>212</v>
      </c>
      <c r="D200" s="289" t="s">
        <v>588</v>
      </c>
      <c r="E200" s="289" t="s">
        <v>589</v>
      </c>
      <c r="F200" s="289" t="s">
        <v>590</v>
      </c>
      <c r="I200" s="289" t="str">
        <f>("0166812")</f>
        <v>0166812</v>
      </c>
    </row>
    <row r="201" spans="1:9">
      <c r="A201" s="290">
        <v>166823</v>
      </c>
      <c r="B201" s="289" t="s">
        <v>29</v>
      </c>
      <c r="C201" s="289" t="s">
        <v>212</v>
      </c>
      <c r="D201" s="289" t="s">
        <v>591</v>
      </c>
      <c r="E201" s="289" t="s">
        <v>592</v>
      </c>
      <c r="F201" s="289" t="s">
        <v>593</v>
      </c>
      <c r="I201" s="289" t="str">
        <f>("0166823")</f>
        <v>0166823</v>
      </c>
    </row>
    <row r="202" spans="1:9">
      <c r="A202" s="290">
        <v>166834</v>
      </c>
      <c r="B202" s="289" t="s">
        <v>29</v>
      </c>
      <c r="C202" s="289" t="s">
        <v>212</v>
      </c>
      <c r="D202" s="289" t="s">
        <v>594</v>
      </c>
      <c r="E202" s="289" t="s">
        <v>595</v>
      </c>
      <c r="F202" s="289" t="s">
        <v>596</v>
      </c>
      <c r="I202" s="289" t="str">
        <f>("0166834")</f>
        <v>0166834</v>
      </c>
    </row>
    <row r="203" spans="1:9">
      <c r="A203" s="290">
        <v>166845</v>
      </c>
      <c r="B203" s="289" t="s">
        <v>29</v>
      </c>
      <c r="C203" s="289" t="s">
        <v>212</v>
      </c>
      <c r="D203" s="289" t="s">
        <v>597</v>
      </c>
      <c r="E203" s="289" t="s">
        <v>598</v>
      </c>
      <c r="F203" s="289" t="s">
        <v>599</v>
      </c>
      <c r="I203" s="289" t="str">
        <f>("0166845")</f>
        <v>0166845</v>
      </c>
    </row>
    <row r="204" spans="1:9">
      <c r="A204" s="290">
        <v>166856</v>
      </c>
      <c r="B204" s="289" t="s">
        <v>29</v>
      </c>
      <c r="C204" s="289" t="s">
        <v>212</v>
      </c>
      <c r="D204" s="289" t="s">
        <v>600</v>
      </c>
      <c r="E204" s="289" t="s">
        <v>601</v>
      </c>
      <c r="F204" s="289" t="s">
        <v>602</v>
      </c>
      <c r="I204" s="289" t="str">
        <f>("0166856")</f>
        <v>0166856</v>
      </c>
    </row>
    <row r="205" spans="1:9">
      <c r="A205" s="290">
        <v>166889</v>
      </c>
      <c r="B205" s="289" t="s">
        <v>29</v>
      </c>
      <c r="C205" s="289" t="s">
        <v>212</v>
      </c>
      <c r="D205" s="289" t="s">
        <v>603</v>
      </c>
      <c r="E205" s="289" t="s">
        <v>604</v>
      </c>
      <c r="F205" s="289" t="s">
        <v>605</v>
      </c>
      <c r="I205" s="289" t="str">
        <f>("0166889")</f>
        <v>0166889</v>
      </c>
    </row>
    <row r="206" spans="1:9">
      <c r="A206" s="290">
        <v>166890</v>
      </c>
      <c r="B206" s="289" t="s">
        <v>29</v>
      </c>
      <c r="C206" s="289" t="s">
        <v>212</v>
      </c>
      <c r="D206" s="289" t="s">
        <v>606</v>
      </c>
      <c r="E206" s="289" t="s">
        <v>607</v>
      </c>
      <c r="F206" s="289" t="s">
        <v>608</v>
      </c>
      <c r="I206" s="289" t="str">
        <f>("0166890")</f>
        <v>0166890</v>
      </c>
    </row>
    <row r="207" spans="1:9">
      <c r="A207" s="290">
        <v>166913</v>
      </c>
      <c r="B207" s="289" t="s">
        <v>29</v>
      </c>
      <c r="C207" s="289" t="s">
        <v>212</v>
      </c>
      <c r="D207" s="289" t="s">
        <v>609</v>
      </c>
      <c r="E207" s="289" t="s">
        <v>610</v>
      </c>
      <c r="F207" s="289" t="s">
        <v>611</v>
      </c>
      <c r="I207" s="289" t="str">
        <f>("0166913")</f>
        <v>0166913</v>
      </c>
    </row>
    <row r="208" spans="1:9">
      <c r="A208" s="290">
        <v>166924</v>
      </c>
      <c r="B208" s="289" t="s">
        <v>29</v>
      </c>
      <c r="C208" s="289" t="s">
        <v>212</v>
      </c>
      <c r="D208" s="289" t="s">
        <v>612</v>
      </c>
      <c r="E208" s="289" t="s">
        <v>613</v>
      </c>
      <c r="F208" s="289" t="s">
        <v>614</v>
      </c>
      <c r="I208" s="289" t="str">
        <f>("0166924")</f>
        <v>0166924</v>
      </c>
    </row>
    <row r="209" spans="1:9">
      <c r="A209" s="290">
        <v>166935</v>
      </c>
      <c r="B209" s="289" t="s">
        <v>29</v>
      </c>
      <c r="C209" s="289" t="s">
        <v>212</v>
      </c>
      <c r="D209" s="289" t="s">
        <v>615</v>
      </c>
      <c r="E209" s="289" t="s">
        <v>616</v>
      </c>
      <c r="F209" s="289" t="s">
        <v>617</v>
      </c>
      <c r="I209" s="289" t="str">
        <f>("0166935")</f>
        <v>0166935</v>
      </c>
    </row>
    <row r="210" spans="1:9">
      <c r="A210" s="290">
        <v>166946</v>
      </c>
      <c r="B210" s="289" t="s">
        <v>29</v>
      </c>
      <c r="C210" s="289" t="s">
        <v>212</v>
      </c>
      <c r="D210" s="289" t="s">
        <v>618</v>
      </c>
      <c r="E210" s="289" t="s">
        <v>619</v>
      </c>
      <c r="F210" s="289" t="s">
        <v>620</v>
      </c>
      <c r="I210" s="289" t="str">
        <f>("0166946")</f>
        <v>0166946</v>
      </c>
    </row>
    <row r="211" spans="1:9">
      <c r="A211" s="290">
        <v>166968</v>
      </c>
      <c r="B211" s="289" t="s">
        <v>29</v>
      </c>
      <c r="C211" s="289" t="s">
        <v>212</v>
      </c>
      <c r="D211" s="289" t="s">
        <v>621</v>
      </c>
      <c r="E211" s="289" t="s">
        <v>622</v>
      </c>
      <c r="F211" s="289" t="s">
        <v>623</v>
      </c>
      <c r="I211" s="289" t="str">
        <f>("0166968")</f>
        <v>0166968</v>
      </c>
    </row>
    <row r="212" spans="1:9">
      <c r="A212" s="290">
        <v>166979</v>
      </c>
      <c r="B212" s="289" t="s">
        <v>29</v>
      </c>
      <c r="C212" s="289" t="s">
        <v>212</v>
      </c>
      <c r="D212" s="289" t="s">
        <v>624</v>
      </c>
      <c r="E212" s="289" t="s">
        <v>625</v>
      </c>
      <c r="F212" s="289" t="s">
        <v>626</v>
      </c>
      <c r="I212" s="289" t="str">
        <f>("0166979")</f>
        <v>0166979</v>
      </c>
    </row>
    <row r="213" spans="1:9">
      <c r="A213" s="290">
        <v>166980</v>
      </c>
      <c r="B213" s="289" t="s">
        <v>29</v>
      </c>
      <c r="C213" s="289" t="s">
        <v>212</v>
      </c>
      <c r="D213" s="289" t="s">
        <v>627</v>
      </c>
      <c r="E213" s="289" t="s">
        <v>628</v>
      </c>
      <c r="F213" s="289" t="s">
        <v>629</v>
      </c>
      <c r="I213" s="289" t="str">
        <f>("0166980")</f>
        <v>0166980</v>
      </c>
    </row>
    <row r="214" spans="1:9">
      <c r="A214" s="290">
        <v>166991</v>
      </c>
      <c r="B214" s="289" t="s">
        <v>630</v>
      </c>
      <c r="C214" s="289" t="s">
        <v>30</v>
      </c>
      <c r="D214" s="289" t="s">
        <v>4673</v>
      </c>
      <c r="E214" s="289" t="s">
        <v>4674</v>
      </c>
      <c r="F214" s="289" t="s">
        <v>4862</v>
      </c>
      <c r="I214" s="289" t="str">
        <f>("0166991")</f>
        <v>0166991</v>
      </c>
    </row>
    <row r="215" spans="1:9">
      <c r="A215" s="290">
        <v>167004</v>
      </c>
      <c r="B215" s="289" t="s">
        <v>630</v>
      </c>
      <c r="C215" s="289" t="s">
        <v>30</v>
      </c>
      <c r="D215" s="289" t="s">
        <v>4863</v>
      </c>
      <c r="E215" s="289" t="s">
        <v>4864</v>
      </c>
      <c r="F215" s="289" t="s">
        <v>631</v>
      </c>
      <c r="I215" s="289" t="str">
        <f>("0167004")</f>
        <v>0167004</v>
      </c>
    </row>
    <row r="216" spans="1:9">
      <c r="A216" s="290">
        <v>167026</v>
      </c>
      <c r="B216" s="289" t="s">
        <v>630</v>
      </c>
      <c r="C216" s="289" t="s">
        <v>30</v>
      </c>
      <c r="D216" s="289" t="s">
        <v>632</v>
      </c>
      <c r="E216" s="289" t="s">
        <v>633</v>
      </c>
      <c r="F216" s="289" t="s">
        <v>634</v>
      </c>
      <c r="I216" s="289" t="str">
        <f>("0167026")</f>
        <v>0167026</v>
      </c>
    </row>
    <row r="217" spans="1:9">
      <c r="A217" s="290">
        <v>167048</v>
      </c>
      <c r="B217" s="289" t="s">
        <v>630</v>
      </c>
      <c r="C217" s="289" t="s">
        <v>30</v>
      </c>
      <c r="D217" s="289" t="s">
        <v>635</v>
      </c>
      <c r="E217" s="289" t="s">
        <v>636</v>
      </c>
      <c r="F217" s="289" t="s">
        <v>637</v>
      </c>
      <c r="I217" s="289" t="str">
        <f>("0167048")</f>
        <v>0167048</v>
      </c>
    </row>
    <row r="218" spans="1:9">
      <c r="A218" s="290">
        <v>167071</v>
      </c>
      <c r="B218" s="289" t="s">
        <v>630</v>
      </c>
      <c r="C218" s="289" t="s">
        <v>30</v>
      </c>
      <c r="D218" s="289" t="s">
        <v>638</v>
      </c>
      <c r="E218" s="289" t="s">
        <v>639</v>
      </c>
      <c r="F218" s="289" t="s">
        <v>640</v>
      </c>
      <c r="I218" s="289" t="str">
        <f>("0167071")</f>
        <v>0167071</v>
      </c>
    </row>
    <row r="219" spans="1:9">
      <c r="A219" s="290">
        <v>167082</v>
      </c>
      <c r="B219" s="289" t="s">
        <v>630</v>
      </c>
      <c r="C219" s="289" t="s">
        <v>30</v>
      </c>
      <c r="D219" s="289" t="s">
        <v>5233</v>
      </c>
      <c r="E219" s="289" t="s">
        <v>5234</v>
      </c>
      <c r="F219" s="289" t="s">
        <v>5235</v>
      </c>
      <c r="I219" s="289" t="str">
        <f>("0167082")</f>
        <v>0167082</v>
      </c>
    </row>
    <row r="220" spans="1:9">
      <c r="A220" s="290">
        <v>167105</v>
      </c>
      <c r="B220" s="289" t="s">
        <v>630</v>
      </c>
      <c r="C220" s="289" t="s">
        <v>30</v>
      </c>
      <c r="D220" s="289" t="s">
        <v>641</v>
      </c>
      <c r="E220" s="289" t="s">
        <v>642</v>
      </c>
      <c r="F220" s="289" t="s">
        <v>643</v>
      </c>
      <c r="I220" s="289" t="str">
        <f>("0167105")</f>
        <v>0167105</v>
      </c>
    </row>
    <row r="221" spans="1:9">
      <c r="A221" s="290">
        <v>167116</v>
      </c>
      <c r="B221" s="289" t="s">
        <v>630</v>
      </c>
      <c r="C221" s="289" t="s">
        <v>30</v>
      </c>
      <c r="D221" s="289" t="s">
        <v>644</v>
      </c>
      <c r="E221" s="289" t="s">
        <v>645</v>
      </c>
      <c r="F221" s="289" t="s">
        <v>646</v>
      </c>
      <c r="I221" s="289" t="str">
        <f>("0167116")</f>
        <v>0167116</v>
      </c>
    </row>
    <row r="222" spans="1:9">
      <c r="A222" s="290">
        <v>167127</v>
      </c>
      <c r="B222" s="289" t="s">
        <v>630</v>
      </c>
      <c r="C222" s="289" t="s">
        <v>30</v>
      </c>
      <c r="D222" s="289" t="s">
        <v>647</v>
      </c>
      <c r="E222" s="289" t="s">
        <v>648</v>
      </c>
      <c r="F222" s="289" t="s">
        <v>649</v>
      </c>
      <c r="I222" s="289" t="str">
        <f>("0167127")</f>
        <v>0167127</v>
      </c>
    </row>
    <row r="223" spans="1:9">
      <c r="A223" s="290">
        <v>167138</v>
      </c>
      <c r="B223" s="289" t="s">
        <v>630</v>
      </c>
      <c r="C223" s="289" t="s">
        <v>30</v>
      </c>
      <c r="D223" s="289" t="s">
        <v>4865</v>
      </c>
      <c r="E223" s="289" t="s">
        <v>4866</v>
      </c>
      <c r="F223" s="289" t="s">
        <v>4867</v>
      </c>
      <c r="I223" s="289" t="str">
        <f>("0167138")</f>
        <v>0167138</v>
      </c>
    </row>
    <row r="224" spans="1:9">
      <c r="A224" s="290">
        <v>167150</v>
      </c>
      <c r="B224" s="289" t="s">
        <v>630</v>
      </c>
      <c r="C224" s="289" t="s">
        <v>30</v>
      </c>
      <c r="D224" s="289" t="s">
        <v>650</v>
      </c>
      <c r="E224" s="289" t="s">
        <v>651</v>
      </c>
      <c r="F224" s="289" t="s">
        <v>652</v>
      </c>
      <c r="I224" s="289" t="str">
        <f>("0167150")</f>
        <v>0167150</v>
      </c>
    </row>
    <row r="225" spans="1:9">
      <c r="A225" s="290">
        <v>167161</v>
      </c>
      <c r="B225" s="289" t="s">
        <v>630</v>
      </c>
      <c r="C225" s="289" t="s">
        <v>30</v>
      </c>
      <c r="D225" s="289" t="s">
        <v>653</v>
      </c>
      <c r="E225" s="289" t="s">
        <v>654</v>
      </c>
      <c r="F225" s="289" t="s">
        <v>4675</v>
      </c>
      <c r="I225" s="289" t="str">
        <f>("0167161")</f>
        <v>0167161</v>
      </c>
    </row>
    <row r="226" spans="1:9">
      <c r="A226" s="290">
        <v>167172</v>
      </c>
      <c r="B226" s="289" t="s">
        <v>630</v>
      </c>
      <c r="C226" s="289" t="s">
        <v>30</v>
      </c>
      <c r="D226" s="289" t="s">
        <v>655</v>
      </c>
      <c r="E226" s="289" t="s">
        <v>656</v>
      </c>
      <c r="F226" s="289" t="s">
        <v>657</v>
      </c>
      <c r="I226" s="289" t="str">
        <f>("0167172")</f>
        <v>0167172</v>
      </c>
    </row>
    <row r="227" spans="1:9">
      <c r="A227" s="290">
        <v>167194</v>
      </c>
      <c r="B227" s="289" t="s">
        <v>630</v>
      </c>
      <c r="C227" s="289" t="s">
        <v>30</v>
      </c>
      <c r="D227" s="289" t="s">
        <v>658</v>
      </c>
      <c r="E227" s="289" t="s">
        <v>659</v>
      </c>
      <c r="F227" s="289" t="s">
        <v>660</v>
      </c>
      <c r="I227" s="289" t="str">
        <f>("0167194")</f>
        <v>0167194</v>
      </c>
    </row>
    <row r="228" spans="1:9">
      <c r="A228" s="290">
        <v>167206</v>
      </c>
      <c r="B228" s="289" t="s">
        <v>630</v>
      </c>
      <c r="C228" s="289" t="s">
        <v>30</v>
      </c>
      <c r="D228" s="289" t="s">
        <v>661</v>
      </c>
      <c r="E228" s="289" t="s">
        <v>662</v>
      </c>
      <c r="F228" s="289" t="s">
        <v>663</v>
      </c>
      <c r="I228" s="289" t="str">
        <f>("0167206")</f>
        <v>0167206</v>
      </c>
    </row>
    <row r="229" spans="1:9">
      <c r="A229" s="290">
        <v>167217</v>
      </c>
      <c r="B229" s="289" t="s">
        <v>630</v>
      </c>
      <c r="C229" s="289" t="s">
        <v>30</v>
      </c>
      <c r="D229" s="289" t="s">
        <v>664</v>
      </c>
      <c r="E229" s="289" t="s">
        <v>665</v>
      </c>
      <c r="F229" s="289" t="s">
        <v>666</v>
      </c>
      <c r="I229" s="289" t="str">
        <f>("0167217")</f>
        <v>0167217</v>
      </c>
    </row>
    <row r="230" spans="1:9">
      <c r="A230" s="290">
        <v>167240</v>
      </c>
      <c r="B230" s="289" t="s">
        <v>667</v>
      </c>
      <c r="C230" s="289" t="s">
        <v>668</v>
      </c>
      <c r="D230" s="289" t="s">
        <v>669</v>
      </c>
      <c r="E230" s="289" t="s">
        <v>669</v>
      </c>
      <c r="F230" s="289" t="s">
        <v>670</v>
      </c>
      <c r="I230" s="289" t="str">
        <f>("0167240")</f>
        <v>0167240</v>
      </c>
    </row>
    <row r="231" spans="1:9">
      <c r="A231" s="290">
        <v>167251</v>
      </c>
      <c r="B231" s="289" t="s">
        <v>667</v>
      </c>
      <c r="C231" s="289" t="s">
        <v>668</v>
      </c>
      <c r="D231" s="289" t="s">
        <v>671</v>
      </c>
      <c r="E231" s="289" t="s">
        <v>672</v>
      </c>
      <c r="F231" s="289" t="s">
        <v>673</v>
      </c>
      <c r="I231" s="289" t="str">
        <f>("0167251")</f>
        <v>0167251</v>
      </c>
    </row>
    <row r="232" spans="1:9">
      <c r="A232" s="290">
        <v>167262</v>
      </c>
      <c r="B232" s="289" t="s">
        <v>667</v>
      </c>
      <c r="C232" s="289" t="s">
        <v>668</v>
      </c>
      <c r="D232" s="289" t="s">
        <v>674</v>
      </c>
      <c r="E232" s="289" t="s">
        <v>675</v>
      </c>
      <c r="F232" s="289" t="s">
        <v>676</v>
      </c>
      <c r="I232" s="289" t="str">
        <f>("0167262")</f>
        <v>0167262</v>
      </c>
    </row>
    <row r="233" spans="1:9">
      <c r="A233" s="290">
        <v>167284</v>
      </c>
      <c r="B233" s="289" t="s">
        <v>667</v>
      </c>
      <c r="C233" s="289" t="s">
        <v>668</v>
      </c>
      <c r="D233" s="289" t="s">
        <v>677</v>
      </c>
      <c r="E233" s="289" t="s">
        <v>678</v>
      </c>
      <c r="F233" s="289" t="s">
        <v>679</v>
      </c>
      <c r="I233" s="289" t="str">
        <f>("0167284")</f>
        <v>0167284</v>
      </c>
    </row>
    <row r="234" spans="1:9">
      <c r="A234" s="290">
        <v>167295</v>
      </c>
      <c r="B234" s="289" t="s">
        <v>667</v>
      </c>
      <c r="C234" s="289" t="s">
        <v>668</v>
      </c>
      <c r="D234" s="289" t="s">
        <v>680</v>
      </c>
      <c r="E234" s="289" t="s">
        <v>681</v>
      </c>
      <c r="F234" s="289" t="s">
        <v>682</v>
      </c>
      <c r="I234" s="289" t="str">
        <f>("0167295")</f>
        <v>0167295</v>
      </c>
    </row>
    <row r="235" spans="1:9">
      <c r="A235" s="290">
        <v>167307</v>
      </c>
      <c r="B235" s="289" t="s">
        <v>667</v>
      </c>
      <c r="C235" s="289" t="s">
        <v>668</v>
      </c>
      <c r="D235" s="289" t="s">
        <v>683</v>
      </c>
      <c r="E235" s="289" t="s">
        <v>684</v>
      </c>
      <c r="F235" s="289" t="s">
        <v>685</v>
      </c>
      <c r="I235" s="289" t="str">
        <f>("0167307")</f>
        <v>0167307</v>
      </c>
    </row>
    <row r="236" spans="1:9">
      <c r="A236" s="290">
        <v>167318</v>
      </c>
      <c r="B236" s="289" t="s">
        <v>667</v>
      </c>
      <c r="C236" s="289" t="s">
        <v>668</v>
      </c>
      <c r="D236" s="289" t="s">
        <v>686</v>
      </c>
      <c r="E236" s="289" t="s">
        <v>687</v>
      </c>
      <c r="F236" s="289" t="s">
        <v>688</v>
      </c>
      <c r="I236" s="289" t="str">
        <f>("0167318")</f>
        <v>0167318</v>
      </c>
    </row>
    <row r="237" spans="1:9">
      <c r="A237" s="290">
        <v>167329</v>
      </c>
      <c r="B237" s="289" t="s">
        <v>667</v>
      </c>
      <c r="C237" s="289" t="s">
        <v>668</v>
      </c>
      <c r="D237" s="289" t="s">
        <v>689</v>
      </c>
      <c r="E237" s="289" t="s">
        <v>690</v>
      </c>
      <c r="F237" s="289" t="s">
        <v>691</v>
      </c>
      <c r="I237" s="289" t="str">
        <f>("0167329")</f>
        <v>0167329</v>
      </c>
    </row>
    <row r="238" spans="1:9">
      <c r="A238" s="290">
        <v>167330</v>
      </c>
      <c r="B238" s="289" t="s">
        <v>667</v>
      </c>
      <c r="C238" s="289" t="s">
        <v>668</v>
      </c>
      <c r="D238" s="289" t="s">
        <v>692</v>
      </c>
      <c r="E238" s="289" t="s">
        <v>693</v>
      </c>
      <c r="F238" s="289" t="s">
        <v>694</v>
      </c>
      <c r="I238" s="289" t="str">
        <f>("0167330")</f>
        <v>0167330</v>
      </c>
    </row>
    <row r="239" spans="1:9">
      <c r="A239" s="290">
        <v>167341</v>
      </c>
      <c r="B239" s="289" t="s">
        <v>667</v>
      </c>
      <c r="C239" s="289" t="s">
        <v>668</v>
      </c>
      <c r="D239" s="289" t="s">
        <v>695</v>
      </c>
      <c r="E239" s="289" t="s">
        <v>696</v>
      </c>
      <c r="F239" s="289" t="s">
        <v>697</v>
      </c>
      <c r="I239" s="289" t="str">
        <f>("0167341")</f>
        <v>0167341</v>
      </c>
    </row>
    <row r="240" spans="1:9">
      <c r="A240" s="290">
        <v>167352</v>
      </c>
      <c r="B240" s="289" t="s">
        <v>667</v>
      </c>
      <c r="C240" s="289" t="s">
        <v>668</v>
      </c>
      <c r="D240" s="289" t="s">
        <v>698</v>
      </c>
      <c r="E240" s="289" t="s">
        <v>699</v>
      </c>
      <c r="F240" s="289" t="s">
        <v>700</v>
      </c>
      <c r="I240" s="289" t="str">
        <f>("0167352")</f>
        <v>0167352</v>
      </c>
    </row>
    <row r="241" spans="1:9">
      <c r="A241" s="290">
        <v>167363</v>
      </c>
      <c r="B241" s="289" t="s">
        <v>667</v>
      </c>
      <c r="C241" s="289" t="s">
        <v>668</v>
      </c>
      <c r="D241" s="289" t="s">
        <v>701</v>
      </c>
      <c r="E241" s="289" t="s">
        <v>702</v>
      </c>
      <c r="F241" s="289" t="s">
        <v>4676</v>
      </c>
      <c r="I241" s="289" t="str">
        <f>("0167363")</f>
        <v>0167363</v>
      </c>
    </row>
    <row r="242" spans="1:9">
      <c r="A242" s="290">
        <v>167374</v>
      </c>
      <c r="B242" s="289" t="s">
        <v>667</v>
      </c>
      <c r="C242" s="289" t="s">
        <v>668</v>
      </c>
      <c r="D242" s="289" t="s">
        <v>703</v>
      </c>
      <c r="E242" s="289" t="s">
        <v>704</v>
      </c>
      <c r="F242" s="289" t="s">
        <v>705</v>
      </c>
      <c r="I242" s="289" t="str">
        <f>("0167374")</f>
        <v>0167374</v>
      </c>
    </row>
    <row r="243" spans="1:9">
      <c r="A243" s="290">
        <v>167385</v>
      </c>
      <c r="B243" s="289" t="s">
        <v>667</v>
      </c>
      <c r="C243" s="289" t="s">
        <v>668</v>
      </c>
      <c r="D243" s="289" t="s">
        <v>706</v>
      </c>
      <c r="E243" s="289" t="s">
        <v>707</v>
      </c>
      <c r="F243" s="289" t="s">
        <v>708</v>
      </c>
      <c r="I243" s="289" t="str">
        <f>("0167385")</f>
        <v>0167385</v>
      </c>
    </row>
    <row r="244" spans="1:9">
      <c r="A244" s="290">
        <v>167396</v>
      </c>
      <c r="B244" s="289" t="s">
        <v>667</v>
      </c>
      <c r="C244" s="289" t="s">
        <v>668</v>
      </c>
      <c r="D244" s="289" t="s">
        <v>709</v>
      </c>
      <c r="E244" s="289" t="s">
        <v>710</v>
      </c>
      <c r="F244" s="289" t="s">
        <v>711</v>
      </c>
      <c r="I244" s="289" t="str">
        <f>("0167396")</f>
        <v>0167396</v>
      </c>
    </row>
    <row r="245" spans="1:9">
      <c r="A245" s="290">
        <v>167408</v>
      </c>
      <c r="B245" s="289" t="s">
        <v>667</v>
      </c>
      <c r="C245" s="289" t="s">
        <v>668</v>
      </c>
      <c r="D245" s="289" t="s">
        <v>712</v>
      </c>
      <c r="E245" s="289" t="s">
        <v>713</v>
      </c>
      <c r="F245" s="289" t="s">
        <v>714</v>
      </c>
      <c r="I245" s="289" t="str">
        <f>("0167408")</f>
        <v>0167408</v>
      </c>
    </row>
    <row r="246" spans="1:9">
      <c r="A246" s="290">
        <v>167419</v>
      </c>
      <c r="B246" s="289" t="s">
        <v>667</v>
      </c>
      <c r="C246" s="289" t="s">
        <v>668</v>
      </c>
      <c r="D246" s="289" t="s">
        <v>715</v>
      </c>
      <c r="E246" s="289" t="s">
        <v>716</v>
      </c>
      <c r="F246" s="289" t="s">
        <v>717</v>
      </c>
      <c r="I246" s="289" t="str">
        <f>("0167419")</f>
        <v>0167419</v>
      </c>
    </row>
    <row r="247" spans="1:9">
      <c r="A247" s="290">
        <v>167420</v>
      </c>
      <c r="B247" s="289" t="s">
        <v>667</v>
      </c>
      <c r="C247" s="289" t="s">
        <v>668</v>
      </c>
      <c r="D247" s="289" t="s">
        <v>718</v>
      </c>
      <c r="E247" s="289" t="s">
        <v>719</v>
      </c>
      <c r="F247" s="289" t="s">
        <v>720</v>
      </c>
      <c r="I247" s="289" t="str">
        <f>("0167420")</f>
        <v>0167420</v>
      </c>
    </row>
    <row r="248" spans="1:9">
      <c r="A248" s="290">
        <v>167431</v>
      </c>
      <c r="B248" s="289" t="s">
        <v>667</v>
      </c>
      <c r="C248" s="289" t="s">
        <v>668</v>
      </c>
      <c r="D248" s="289" t="s">
        <v>721</v>
      </c>
      <c r="E248" s="289" t="s">
        <v>722</v>
      </c>
      <c r="F248" s="289" t="s">
        <v>723</v>
      </c>
      <c r="I248" s="289" t="str">
        <f>("0167431")</f>
        <v>0167431</v>
      </c>
    </row>
    <row r="249" spans="1:9">
      <c r="A249" s="290">
        <v>167442</v>
      </c>
      <c r="B249" s="289" t="s">
        <v>667</v>
      </c>
      <c r="C249" s="289" t="s">
        <v>668</v>
      </c>
      <c r="D249" s="289" t="s">
        <v>724</v>
      </c>
      <c r="E249" s="289" t="s">
        <v>725</v>
      </c>
      <c r="F249" s="289" t="s">
        <v>726</v>
      </c>
      <c r="I249" s="289" t="str">
        <f>("0167442")</f>
        <v>0167442</v>
      </c>
    </row>
    <row r="250" spans="1:9">
      <c r="A250" s="290">
        <v>167475</v>
      </c>
      <c r="B250" s="289" t="s">
        <v>667</v>
      </c>
      <c r="C250" s="289" t="s">
        <v>668</v>
      </c>
      <c r="D250" s="289" t="s">
        <v>727</v>
      </c>
      <c r="E250" s="289" t="s">
        <v>728</v>
      </c>
      <c r="F250" s="289" t="s">
        <v>729</v>
      </c>
      <c r="I250" s="289" t="str">
        <f>("0167475")</f>
        <v>0167475</v>
      </c>
    </row>
    <row r="251" spans="1:9">
      <c r="A251" s="290">
        <v>167486</v>
      </c>
      <c r="B251" s="289" t="s">
        <v>667</v>
      </c>
      <c r="C251" s="289" t="s">
        <v>668</v>
      </c>
      <c r="D251" s="289" t="s">
        <v>730</v>
      </c>
      <c r="E251" s="289" t="s">
        <v>731</v>
      </c>
      <c r="F251" s="289" t="s">
        <v>732</v>
      </c>
      <c r="I251" s="289" t="str">
        <f>("0167486")</f>
        <v>0167486</v>
      </c>
    </row>
    <row r="252" spans="1:9">
      <c r="A252" s="290">
        <v>167497</v>
      </c>
      <c r="B252" s="289" t="s">
        <v>667</v>
      </c>
      <c r="C252" s="289" t="s">
        <v>668</v>
      </c>
      <c r="D252" s="289" t="s">
        <v>733</v>
      </c>
      <c r="E252" s="289" t="s">
        <v>734</v>
      </c>
      <c r="F252" s="289" t="s">
        <v>735</v>
      </c>
      <c r="I252" s="289" t="str">
        <f>("0167497")</f>
        <v>0167497</v>
      </c>
    </row>
    <row r="253" spans="1:9">
      <c r="A253" s="290">
        <v>167509</v>
      </c>
      <c r="B253" s="289" t="s">
        <v>667</v>
      </c>
      <c r="C253" s="289" t="s">
        <v>668</v>
      </c>
      <c r="D253" s="289" t="s">
        <v>736</v>
      </c>
      <c r="E253" s="289" t="s">
        <v>737</v>
      </c>
      <c r="F253" s="289" t="s">
        <v>738</v>
      </c>
      <c r="I253" s="289" t="str">
        <f>("0167509")</f>
        <v>0167509</v>
      </c>
    </row>
    <row r="254" spans="1:9">
      <c r="A254" s="290">
        <v>167510</v>
      </c>
      <c r="B254" s="289" t="s">
        <v>667</v>
      </c>
      <c r="C254" s="289" t="s">
        <v>668</v>
      </c>
      <c r="D254" s="289" t="s">
        <v>739</v>
      </c>
      <c r="E254" s="289" t="s">
        <v>740</v>
      </c>
      <c r="F254" s="289" t="s">
        <v>741</v>
      </c>
      <c r="I254" s="289" t="str">
        <f>("0167510")</f>
        <v>0167510</v>
      </c>
    </row>
    <row r="255" spans="1:9">
      <c r="A255" s="290">
        <v>167532</v>
      </c>
      <c r="B255" s="289" t="s">
        <v>667</v>
      </c>
      <c r="C255" s="289" t="s">
        <v>668</v>
      </c>
      <c r="D255" s="289" t="s">
        <v>742</v>
      </c>
      <c r="E255" s="289" t="s">
        <v>743</v>
      </c>
      <c r="F255" s="289" t="s">
        <v>744</v>
      </c>
      <c r="I255" s="289" t="str">
        <f>("0167532")</f>
        <v>0167532</v>
      </c>
    </row>
    <row r="256" spans="1:9">
      <c r="A256" s="290">
        <v>167543</v>
      </c>
      <c r="B256" s="289" t="s">
        <v>667</v>
      </c>
      <c r="C256" s="289" t="s">
        <v>668</v>
      </c>
      <c r="D256" s="289" t="s">
        <v>745</v>
      </c>
      <c r="E256" s="289" t="s">
        <v>746</v>
      </c>
      <c r="F256" s="289" t="s">
        <v>747</v>
      </c>
      <c r="I256" s="289" t="str">
        <f>("0167543")</f>
        <v>0167543</v>
      </c>
    </row>
    <row r="257" spans="1:9">
      <c r="A257" s="290">
        <v>167565</v>
      </c>
      <c r="B257" s="289" t="s">
        <v>667</v>
      </c>
      <c r="C257" s="289" t="s">
        <v>668</v>
      </c>
      <c r="D257" s="289" t="s">
        <v>748</v>
      </c>
      <c r="E257" s="289" t="s">
        <v>749</v>
      </c>
      <c r="F257" s="289" t="s">
        <v>750</v>
      </c>
      <c r="I257" s="289" t="str">
        <f>("0167565")</f>
        <v>0167565</v>
      </c>
    </row>
    <row r="258" spans="1:9">
      <c r="A258" s="290">
        <v>167576</v>
      </c>
      <c r="B258" s="289" t="s">
        <v>667</v>
      </c>
      <c r="C258" s="289" t="s">
        <v>668</v>
      </c>
      <c r="D258" s="289" t="s">
        <v>4868</v>
      </c>
      <c r="E258" s="289" t="s">
        <v>4869</v>
      </c>
      <c r="F258" s="289" t="s">
        <v>4870</v>
      </c>
      <c r="I258" s="289" t="str">
        <f>("0167576")</f>
        <v>0167576</v>
      </c>
    </row>
    <row r="259" spans="1:9">
      <c r="A259" s="290">
        <v>167587</v>
      </c>
      <c r="B259" s="289" t="s">
        <v>667</v>
      </c>
      <c r="C259" s="289" t="s">
        <v>668</v>
      </c>
      <c r="D259" s="289" t="s">
        <v>751</v>
      </c>
      <c r="E259" s="289" t="s">
        <v>752</v>
      </c>
      <c r="F259" s="289" t="s">
        <v>753</v>
      </c>
      <c r="I259" s="289" t="str">
        <f>("0167587")</f>
        <v>0167587</v>
      </c>
    </row>
    <row r="260" spans="1:9">
      <c r="A260" s="290">
        <v>167598</v>
      </c>
      <c r="B260" s="289" t="s">
        <v>667</v>
      </c>
      <c r="C260" s="289" t="s">
        <v>668</v>
      </c>
      <c r="D260" s="289" t="s">
        <v>754</v>
      </c>
      <c r="E260" s="289" t="s">
        <v>755</v>
      </c>
      <c r="F260" s="289" t="s">
        <v>756</v>
      </c>
      <c r="I260" s="289" t="str">
        <f>("0167598")</f>
        <v>0167598</v>
      </c>
    </row>
    <row r="261" spans="1:9">
      <c r="A261" s="290">
        <v>167600</v>
      </c>
      <c r="B261" s="289" t="s">
        <v>667</v>
      </c>
      <c r="C261" s="289" t="s">
        <v>668</v>
      </c>
      <c r="D261" s="289" t="s">
        <v>757</v>
      </c>
      <c r="E261" s="289" t="s">
        <v>758</v>
      </c>
      <c r="F261" s="289" t="s">
        <v>759</v>
      </c>
      <c r="I261" s="289" t="str">
        <f>("0167600")</f>
        <v>0167600</v>
      </c>
    </row>
    <row r="262" spans="1:9">
      <c r="A262" s="290">
        <v>167622</v>
      </c>
      <c r="B262" s="289" t="s">
        <v>667</v>
      </c>
      <c r="C262" s="289" t="s">
        <v>668</v>
      </c>
      <c r="D262" s="289" t="s">
        <v>760</v>
      </c>
      <c r="E262" s="289" t="s">
        <v>761</v>
      </c>
      <c r="F262" s="289" t="s">
        <v>762</v>
      </c>
      <c r="I262" s="289" t="str">
        <f>("0167622")</f>
        <v>0167622</v>
      </c>
    </row>
    <row r="263" spans="1:9">
      <c r="A263" s="290">
        <v>167633</v>
      </c>
      <c r="B263" s="289" t="s">
        <v>667</v>
      </c>
      <c r="C263" s="289" t="s">
        <v>668</v>
      </c>
      <c r="D263" s="289" t="s">
        <v>763</v>
      </c>
      <c r="E263" s="289" t="s">
        <v>764</v>
      </c>
      <c r="F263" s="289" t="s">
        <v>765</v>
      </c>
      <c r="I263" s="289" t="str">
        <f>("0167633")</f>
        <v>0167633</v>
      </c>
    </row>
    <row r="264" spans="1:9">
      <c r="A264" s="290">
        <v>167655</v>
      </c>
      <c r="B264" s="289" t="s">
        <v>667</v>
      </c>
      <c r="C264" s="289" t="s">
        <v>668</v>
      </c>
      <c r="D264" s="289" t="s">
        <v>766</v>
      </c>
      <c r="E264" s="289" t="s">
        <v>767</v>
      </c>
      <c r="F264" s="289" t="s">
        <v>768</v>
      </c>
      <c r="I264" s="289" t="str">
        <f>("0167655")</f>
        <v>0167655</v>
      </c>
    </row>
    <row r="265" spans="1:9">
      <c r="A265" s="290">
        <v>167688</v>
      </c>
      <c r="B265" s="289" t="s">
        <v>667</v>
      </c>
      <c r="C265" s="289" t="s">
        <v>668</v>
      </c>
      <c r="D265" s="289" t="s">
        <v>769</v>
      </c>
      <c r="E265" s="289" t="s">
        <v>770</v>
      </c>
      <c r="F265" s="289" t="s">
        <v>771</v>
      </c>
      <c r="I265" s="289" t="str">
        <f>("0167688")</f>
        <v>0167688</v>
      </c>
    </row>
    <row r="266" spans="1:9">
      <c r="A266" s="290">
        <v>167699</v>
      </c>
      <c r="B266" s="289" t="s">
        <v>667</v>
      </c>
      <c r="C266" s="289" t="s">
        <v>668</v>
      </c>
      <c r="D266" s="289" t="s">
        <v>772</v>
      </c>
      <c r="E266" s="289" t="s">
        <v>773</v>
      </c>
      <c r="F266" s="289" t="s">
        <v>774</v>
      </c>
      <c r="I266" s="289" t="str">
        <f>("0167699")</f>
        <v>0167699</v>
      </c>
    </row>
    <row r="267" spans="1:9">
      <c r="A267" s="290">
        <v>167701</v>
      </c>
      <c r="B267" s="289" t="s">
        <v>667</v>
      </c>
      <c r="C267" s="289" t="s">
        <v>668</v>
      </c>
      <c r="D267" s="289" t="s">
        <v>775</v>
      </c>
      <c r="E267" s="289" t="s">
        <v>776</v>
      </c>
      <c r="F267" s="289" t="s">
        <v>777</v>
      </c>
      <c r="I267" s="289" t="str">
        <f>("0167701")</f>
        <v>0167701</v>
      </c>
    </row>
    <row r="268" spans="1:9">
      <c r="A268" s="290">
        <v>167712</v>
      </c>
      <c r="B268" s="289" t="s">
        <v>667</v>
      </c>
      <c r="C268" s="289" t="s">
        <v>668</v>
      </c>
      <c r="D268" s="289" t="s">
        <v>778</v>
      </c>
      <c r="E268" s="289" t="s">
        <v>779</v>
      </c>
      <c r="F268" s="289" t="s">
        <v>780</v>
      </c>
      <c r="I268" s="289" t="str">
        <f>("0167712")</f>
        <v>0167712</v>
      </c>
    </row>
    <row r="269" spans="1:9">
      <c r="A269" s="290">
        <v>167723</v>
      </c>
      <c r="B269" s="289" t="s">
        <v>667</v>
      </c>
      <c r="C269" s="289" t="s">
        <v>668</v>
      </c>
      <c r="D269" s="289" t="s">
        <v>781</v>
      </c>
      <c r="E269" s="289" t="s">
        <v>782</v>
      </c>
      <c r="F269" s="289" t="s">
        <v>783</v>
      </c>
      <c r="I269" s="289" t="str">
        <f>("0167723")</f>
        <v>0167723</v>
      </c>
    </row>
    <row r="270" spans="1:9">
      <c r="A270" s="290">
        <v>167734</v>
      </c>
      <c r="B270" s="289" t="s">
        <v>667</v>
      </c>
      <c r="C270" s="289" t="s">
        <v>668</v>
      </c>
      <c r="D270" s="289" t="s">
        <v>784</v>
      </c>
      <c r="E270" s="289" t="s">
        <v>785</v>
      </c>
      <c r="F270" s="289" t="s">
        <v>786</v>
      </c>
      <c r="I270" s="289" t="str">
        <f>("0167734")</f>
        <v>0167734</v>
      </c>
    </row>
    <row r="271" spans="1:9">
      <c r="A271" s="290">
        <v>167745</v>
      </c>
      <c r="B271" s="289" t="s">
        <v>667</v>
      </c>
      <c r="C271" s="289" t="s">
        <v>668</v>
      </c>
      <c r="D271" s="289" t="s">
        <v>787</v>
      </c>
      <c r="E271" s="289" t="s">
        <v>788</v>
      </c>
      <c r="F271" s="289" t="s">
        <v>789</v>
      </c>
      <c r="I271" s="289" t="str">
        <f>("0167745")</f>
        <v>0167745</v>
      </c>
    </row>
    <row r="272" spans="1:9">
      <c r="A272" s="290">
        <v>167767</v>
      </c>
      <c r="B272" s="289" t="s">
        <v>667</v>
      </c>
      <c r="C272" s="289" t="s">
        <v>668</v>
      </c>
      <c r="D272" s="289" t="s">
        <v>790</v>
      </c>
      <c r="E272" s="289" t="s">
        <v>791</v>
      </c>
      <c r="F272" s="289" t="s">
        <v>792</v>
      </c>
      <c r="I272" s="289" t="str">
        <f>("0167767")</f>
        <v>0167767</v>
      </c>
    </row>
    <row r="273" spans="1:9">
      <c r="A273" s="290">
        <v>167778</v>
      </c>
      <c r="B273" s="289" t="s">
        <v>667</v>
      </c>
      <c r="C273" s="289" t="s">
        <v>668</v>
      </c>
      <c r="D273" s="289" t="s">
        <v>793</v>
      </c>
      <c r="E273" s="289" t="s">
        <v>794</v>
      </c>
      <c r="F273" s="289" t="s">
        <v>795</v>
      </c>
      <c r="I273" s="289" t="str">
        <f>("0167778")</f>
        <v>0167778</v>
      </c>
    </row>
    <row r="274" spans="1:9">
      <c r="A274" s="290">
        <v>167789</v>
      </c>
      <c r="B274" s="289" t="s">
        <v>667</v>
      </c>
      <c r="C274" s="289" t="s">
        <v>668</v>
      </c>
      <c r="D274" s="289" t="s">
        <v>796</v>
      </c>
      <c r="E274" s="289" t="s">
        <v>797</v>
      </c>
      <c r="F274" s="289" t="s">
        <v>798</v>
      </c>
      <c r="I274" s="289" t="str">
        <f>("0167789")</f>
        <v>0167789</v>
      </c>
    </row>
    <row r="275" spans="1:9">
      <c r="A275" s="290">
        <v>167802</v>
      </c>
      <c r="B275" s="289" t="s">
        <v>667</v>
      </c>
      <c r="C275" s="289" t="s">
        <v>668</v>
      </c>
      <c r="D275" s="289" t="s">
        <v>799</v>
      </c>
      <c r="E275" s="289" t="s">
        <v>800</v>
      </c>
      <c r="F275" s="289" t="s">
        <v>801</v>
      </c>
      <c r="I275" s="289" t="str">
        <f>("0167802")</f>
        <v>0167802</v>
      </c>
    </row>
    <row r="276" spans="1:9">
      <c r="A276" s="290">
        <v>167813</v>
      </c>
      <c r="B276" s="289" t="s">
        <v>667</v>
      </c>
      <c r="C276" s="289" t="s">
        <v>668</v>
      </c>
      <c r="D276" s="289" t="s">
        <v>802</v>
      </c>
      <c r="E276" s="289" t="s">
        <v>803</v>
      </c>
      <c r="F276" s="289" t="s">
        <v>804</v>
      </c>
      <c r="I276" s="289" t="str">
        <f>("0167813")</f>
        <v>0167813</v>
      </c>
    </row>
    <row r="277" spans="1:9">
      <c r="A277" s="290">
        <v>167824</v>
      </c>
      <c r="B277" s="289" t="s">
        <v>667</v>
      </c>
      <c r="C277" s="289" t="s">
        <v>668</v>
      </c>
      <c r="D277" s="289" t="s">
        <v>805</v>
      </c>
      <c r="E277" s="289" t="s">
        <v>806</v>
      </c>
      <c r="F277" s="289" t="s">
        <v>807</v>
      </c>
      <c r="I277" s="289" t="str">
        <f>("0167824")</f>
        <v>0167824</v>
      </c>
    </row>
    <row r="278" spans="1:9">
      <c r="A278" s="290">
        <v>167835</v>
      </c>
      <c r="B278" s="289" t="s">
        <v>667</v>
      </c>
      <c r="C278" s="289" t="s">
        <v>668</v>
      </c>
      <c r="D278" s="289" t="s">
        <v>808</v>
      </c>
      <c r="E278" s="289" t="s">
        <v>809</v>
      </c>
      <c r="F278" s="289" t="s">
        <v>810</v>
      </c>
      <c r="I278" s="289" t="str">
        <f>("0167835")</f>
        <v>0167835</v>
      </c>
    </row>
    <row r="279" spans="1:9">
      <c r="A279" s="290">
        <v>167846</v>
      </c>
      <c r="B279" s="289" t="s">
        <v>667</v>
      </c>
      <c r="C279" s="289" t="s">
        <v>668</v>
      </c>
      <c r="D279" s="289" t="s">
        <v>811</v>
      </c>
      <c r="E279" s="289" t="s">
        <v>812</v>
      </c>
      <c r="F279" s="289" t="s">
        <v>813</v>
      </c>
      <c r="I279" s="289" t="str">
        <f>("0167846")</f>
        <v>0167846</v>
      </c>
    </row>
    <row r="280" spans="1:9">
      <c r="A280" s="290">
        <v>167857</v>
      </c>
      <c r="B280" s="289" t="s">
        <v>667</v>
      </c>
      <c r="C280" s="289" t="s">
        <v>668</v>
      </c>
      <c r="D280" s="289" t="s">
        <v>814</v>
      </c>
      <c r="E280" s="289" t="s">
        <v>815</v>
      </c>
      <c r="F280" s="289" t="s">
        <v>816</v>
      </c>
      <c r="I280" s="289" t="str">
        <f>("0167857")</f>
        <v>0167857</v>
      </c>
    </row>
    <row r="281" spans="1:9">
      <c r="A281" s="290">
        <v>167868</v>
      </c>
      <c r="B281" s="289" t="s">
        <v>667</v>
      </c>
      <c r="C281" s="289" t="s">
        <v>668</v>
      </c>
      <c r="D281" s="289" t="s">
        <v>817</v>
      </c>
      <c r="E281" s="289" t="s">
        <v>818</v>
      </c>
      <c r="F281" s="289" t="s">
        <v>819</v>
      </c>
      <c r="I281" s="289" t="str">
        <f>("0167868")</f>
        <v>0167868</v>
      </c>
    </row>
    <row r="282" spans="1:9">
      <c r="A282" s="290">
        <v>167879</v>
      </c>
      <c r="B282" s="289" t="s">
        <v>667</v>
      </c>
      <c r="C282" s="289" t="s">
        <v>668</v>
      </c>
      <c r="D282" s="289" t="s">
        <v>820</v>
      </c>
      <c r="E282" s="289" t="s">
        <v>821</v>
      </c>
      <c r="F282" s="289" t="s">
        <v>822</v>
      </c>
      <c r="I282" s="289" t="str">
        <f>("0167879")</f>
        <v>0167879</v>
      </c>
    </row>
    <row r="283" spans="1:9">
      <c r="A283" s="290">
        <v>167880</v>
      </c>
      <c r="B283" s="289" t="s">
        <v>667</v>
      </c>
      <c r="C283" s="289" t="s">
        <v>668</v>
      </c>
      <c r="D283" s="289" t="s">
        <v>823</v>
      </c>
      <c r="E283" s="289" t="s">
        <v>824</v>
      </c>
      <c r="F283" s="289" t="s">
        <v>4677</v>
      </c>
      <c r="I283" s="289" t="str">
        <f>("0167880")</f>
        <v>0167880</v>
      </c>
    </row>
    <row r="284" spans="1:9">
      <c r="A284" s="290">
        <v>167891</v>
      </c>
      <c r="B284" s="289" t="s">
        <v>667</v>
      </c>
      <c r="C284" s="289" t="s">
        <v>668</v>
      </c>
      <c r="D284" s="289" t="s">
        <v>825</v>
      </c>
      <c r="E284" s="289" t="s">
        <v>826</v>
      </c>
      <c r="F284" s="289" t="s">
        <v>827</v>
      </c>
      <c r="I284" s="289" t="str">
        <f>("0167891")</f>
        <v>0167891</v>
      </c>
    </row>
    <row r="285" spans="1:9">
      <c r="A285" s="290">
        <v>167903</v>
      </c>
      <c r="B285" s="289" t="s">
        <v>667</v>
      </c>
      <c r="C285" s="289" t="s">
        <v>668</v>
      </c>
      <c r="D285" s="289" t="s">
        <v>828</v>
      </c>
      <c r="E285" s="289" t="s">
        <v>829</v>
      </c>
      <c r="F285" s="289" t="s">
        <v>830</v>
      </c>
      <c r="I285" s="289" t="str">
        <f>("0167903")</f>
        <v>0167903</v>
      </c>
    </row>
    <row r="286" spans="1:9">
      <c r="A286" s="290">
        <v>167914</v>
      </c>
      <c r="B286" s="289" t="s">
        <v>667</v>
      </c>
      <c r="C286" s="289" t="s">
        <v>668</v>
      </c>
      <c r="D286" s="289" t="s">
        <v>831</v>
      </c>
      <c r="E286" s="289" t="s">
        <v>832</v>
      </c>
      <c r="F286" s="289" t="s">
        <v>833</v>
      </c>
      <c r="I286" s="289" t="str">
        <f>("0167914")</f>
        <v>0167914</v>
      </c>
    </row>
    <row r="287" spans="1:9">
      <c r="A287" s="290">
        <v>167925</v>
      </c>
      <c r="B287" s="289" t="s">
        <v>667</v>
      </c>
      <c r="C287" s="289" t="s">
        <v>668</v>
      </c>
      <c r="D287" s="289" t="s">
        <v>834</v>
      </c>
      <c r="E287" s="289" t="s">
        <v>835</v>
      </c>
      <c r="F287" s="289" t="s">
        <v>836</v>
      </c>
      <c r="I287" s="289" t="str">
        <f>("0167925")</f>
        <v>0167925</v>
      </c>
    </row>
    <row r="288" spans="1:9">
      <c r="A288" s="290">
        <v>167936</v>
      </c>
      <c r="B288" s="289" t="s">
        <v>667</v>
      </c>
      <c r="C288" s="289" t="s">
        <v>668</v>
      </c>
      <c r="D288" s="289" t="s">
        <v>837</v>
      </c>
      <c r="E288" s="289" t="s">
        <v>838</v>
      </c>
      <c r="F288" s="289" t="s">
        <v>839</v>
      </c>
      <c r="I288" s="289" t="str">
        <f>("0167936")</f>
        <v>0167936</v>
      </c>
    </row>
    <row r="289" spans="1:9">
      <c r="A289" s="290">
        <v>167947</v>
      </c>
      <c r="B289" s="289" t="s">
        <v>667</v>
      </c>
      <c r="C289" s="289" t="s">
        <v>668</v>
      </c>
      <c r="D289" s="289" t="s">
        <v>840</v>
      </c>
      <c r="E289" s="289" t="s">
        <v>841</v>
      </c>
      <c r="F289" s="289" t="s">
        <v>842</v>
      </c>
      <c r="I289" s="289" t="str">
        <f>("0167947")</f>
        <v>0167947</v>
      </c>
    </row>
    <row r="290" spans="1:9">
      <c r="A290" s="290">
        <v>167958</v>
      </c>
      <c r="B290" s="289" t="s">
        <v>667</v>
      </c>
      <c r="C290" s="289" t="s">
        <v>668</v>
      </c>
      <c r="D290" s="289" t="s">
        <v>843</v>
      </c>
      <c r="E290" s="289" t="s">
        <v>844</v>
      </c>
      <c r="F290" s="289" t="s">
        <v>845</v>
      </c>
      <c r="I290" s="289" t="str">
        <f>("0167958")</f>
        <v>0167958</v>
      </c>
    </row>
    <row r="291" spans="1:9">
      <c r="A291" s="290">
        <v>167969</v>
      </c>
      <c r="B291" s="289" t="s">
        <v>667</v>
      </c>
      <c r="C291" s="289" t="s">
        <v>668</v>
      </c>
      <c r="D291" s="289" t="s">
        <v>846</v>
      </c>
      <c r="E291" s="289" t="s">
        <v>847</v>
      </c>
      <c r="F291" s="289" t="s">
        <v>848</v>
      </c>
      <c r="I291" s="289" t="str">
        <f>("0167969")</f>
        <v>0167969</v>
      </c>
    </row>
    <row r="292" spans="1:9">
      <c r="A292" s="290">
        <v>167970</v>
      </c>
      <c r="B292" s="289" t="s">
        <v>667</v>
      </c>
      <c r="C292" s="289" t="s">
        <v>668</v>
      </c>
      <c r="D292" s="289" t="s">
        <v>849</v>
      </c>
      <c r="E292" s="289" t="s">
        <v>850</v>
      </c>
      <c r="F292" s="289" t="s">
        <v>851</v>
      </c>
      <c r="I292" s="289" t="str">
        <f>("0167970")</f>
        <v>0167970</v>
      </c>
    </row>
    <row r="293" spans="1:9">
      <c r="A293" s="290">
        <v>167981</v>
      </c>
      <c r="B293" s="289" t="s">
        <v>667</v>
      </c>
      <c r="C293" s="289" t="s">
        <v>668</v>
      </c>
      <c r="D293" s="289" t="s">
        <v>852</v>
      </c>
      <c r="E293" s="289" t="s">
        <v>853</v>
      </c>
      <c r="F293" s="289" t="s">
        <v>854</v>
      </c>
      <c r="I293" s="289" t="str">
        <f>("0167981")</f>
        <v>0167981</v>
      </c>
    </row>
    <row r="294" spans="1:9">
      <c r="A294" s="290">
        <v>167992</v>
      </c>
      <c r="B294" s="289" t="s">
        <v>667</v>
      </c>
      <c r="C294" s="289" t="s">
        <v>668</v>
      </c>
      <c r="D294" s="289" t="s">
        <v>855</v>
      </c>
      <c r="E294" s="289" t="s">
        <v>856</v>
      </c>
      <c r="F294" s="289" t="s">
        <v>857</v>
      </c>
      <c r="I294" s="289" t="str">
        <f>("0167992")</f>
        <v>0167992</v>
      </c>
    </row>
    <row r="295" spans="1:9">
      <c r="A295" s="290">
        <v>168005</v>
      </c>
      <c r="B295" s="289" t="s">
        <v>667</v>
      </c>
      <c r="C295" s="289" t="s">
        <v>668</v>
      </c>
      <c r="D295" s="289" t="s">
        <v>858</v>
      </c>
      <c r="E295" s="289" t="s">
        <v>859</v>
      </c>
      <c r="F295" s="289" t="s">
        <v>860</v>
      </c>
      <c r="I295" s="289" t="str">
        <f>("0168005")</f>
        <v>0168005</v>
      </c>
    </row>
    <row r="296" spans="1:9">
      <c r="A296" s="290">
        <v>168016</v>
      </c>
      <c r="B296" s="289" t="s">
        <v>667</v>
      </c>
      <c r="C296" s="289" t="s">
        <v>668</v>
      </c>
      <c r="D296" s="289" t="s">
        <v>861</v>
      </c>
      <c r="E296" s="289" t="s">
        <v>862</v>
      </c>
      <c r="F296" s="289" t="s">
        <v>863</v>
      </c>
      <c r="I296" s="289" t="str">
        <f>("0168016")</f>
        <v>0168016</v>
      </c>
    </row>
    <row r="297" spans="1:9">
      <c r="A297" s="290">
        <v>168027</v>
      </c>
      <c r="B297" s="289" t="s">
        <v>667</v>
      </c>
      <c r="C297" s="289" t="s">
        <v>668</v>
      </c>
      <c r="D297" s="289" t="s">
        <v>864</v>
      </c>
      <c r="E297" s="289" t="s">
        <v>865</v>
      </c>
      <c r="F297" s="289" t="s">
        <v>866</v>
      </c>
      <c r="I297" s="289" t="str">
        <f>("0168027")</f>
        <v>0168027</v>
      </c>
    </row>
    <row r="298" spans="1:9">
      <c r="A298" s="290">
        <v>168038</v>
      </c>
      <c r="B298" s="289" t="s">
        <v>667</v>
      </c>
      <c r="C298" s="289" t="s">
        <v>668</v>
      </c>
      <c r="D298" s="289" t="s">
        <v>867</v>
      </c>
      <c r="E298" s="289" t="s">
        <v>868</v>
      </c>
      <c r="F298" s="289" t="s">
        <v>4678</v>
      </c>
      <c r="I298" s="289" t="str">
        <f>("0168038")</f>
        <v>0168038</v>
      </c>
    </row>
    <row r="299" spans="1:9">
      <c r="A299" s="290">
        <v>168049</v>
      </c>
      <c r="B299" s="289" t="s">
        <v>667</v>
      </c>
      <c r="C299" s="289" t="s">
        <v>668</v>
      </c>
      <c r="D299" s="289" t="s">
        <v>869</v>
      </c>
      <c r="E299" s="289" t="s">
        <v>870</v>
      </c>
      <c r="F299" s="289" t="s">
        <v>4679</v>
      </c>
      <c r="I299" s="289" t="str">
        <f>("0168049")</f>
        <v>0168049</v>
      </c>
    </row>
    <row r="300" spans="1:9">
      <c r="A300" s="290">
        <v>168050</v>
      </c>
      <c r="B300" s="289" t="s">
        <v>667</v>
      </c>
      <c r="C300" s="289" t="s">
        <v>668</v>
      </c>
      <c r="D300" s="289" t="s">
        <v>871</v>
      </c>
      <c r="E300" s="289" t="s">
        <v>872</v>
      </c>
      <c r="F300" s="289" t="s">
        <v>873</v>
      </c>
      <c r="I300" s="289" t="str">
        <f>("0168050")</f>
        <v>0168050</v>
      </c>
    </row>
    <row r="301" spans="1:9">
      <c r="A301" s="290">
        <v>168061</v>
      </c>
      <c r="B301" s="289" t="s">
        <v>667</v>
      </c>
      <c r="C301" s="289" t="s">
        <v>668</v>
      </c>
      <c r="D301" s="289" t="s">
        <v>874</v>
      </c>
      <c r="E301" s="289" t="s">
        <v>875</v>
      </c>
      <c r="F301" s="289" t="s">
        <v>4871</v>
      </c>
      <c r="I301" s="289" t="str">
        <f>("0168061")</f>
        <v>0168061</v>
      </c>
    </row>
    <row r="302" spans="1:9">
      <c r="A302" s="290">
        <v>168072</v>
      </c>
      <c r="B302" s="289" t="s">
        <v>667</v>
      </c>
      <c r="C302" s="289" t="s">
        <v>668</v>
      </c>
      <c r="D302" s="289" t="s">
        <v>876</v>
      </c>
      <c r="E302" s="289" t="s">
        <v>877</v>
      </c>
      <c r="F302" s="289" t="s">
        <v>878</v>
      </c>
      <c r="I302" s="289" t="str">
        <f>("0168072")</f>
        <v>0168072</v>
      </c>
    </row>
    <row r="303" spans="1:9">
      <c r="A303" s="290">
        <v>168083</v>
      </c>
      <c r="B303" s="289" t="s">
        <v>667</v>
      </c>
      <c r="C303" s="289" t="s">
        <v>668</v>
      </c>
      <c r="D303" s="289" t="s">
        <v>879</v>
      </c>
      <c r="E303" s="289" t="s">
        <v>880</v>
      </c>
      <c r="F303" s="289" t="s">
        <v>881</v>
      </c>
      <c r="I303" s="289" t="str">
        <f>("0168083")</f>
        <v>0168083</v>
      </c>
    </row>
    <row r="304" spans="1:9">
      <c r="A304" s="290">
        <v>168094</v>
      </c>
      <c r="B304" s="289" t="s">
        <v>667</v>
      </c>
      <c r="C304" s="289" t="s">
        <v>668</v>
      </c>
      <c r="D304" s="289" t="s">
        <v>882</v>
      </c>
      <c r="E304" s="289" t="s">
        <v>883</v>
      </c>
      <c r="F304" s="289" t="s">
        <v>4680</v>
      </c>
      <c r="I304" s="289" t="str">
        <f>("0168094")</f>
        <v>0168094</v>
      </c>
    </row>
    <row r="305" spans="1:9">
      <c r="A305" s="290">
        <v>168106</v>
      </c>
      <c r="B305" s="289" t="s">
        <v>667</v>
      </c>
      <c r="C305" s="289" t="s">
        <v>668</v>
      </c>
      <c r="D305" s="289" t="s">
        <v>884</v>
      </c>
      <c r="E305" s="289" t="s">
        <v>885</v>
      </c>
      <c r="F305" s="289" t="s">
        <v>886</v>
      </c>
      <c r="I305" s="289" t="str">
        <f>("0168106")</f>
        <v>0168106</v>
      </c>
    </row>
    <row r="306" spans="1:9">
      <c r="A306" s="290">
        <v>168117</v>
      </c>
      <c r="B306" s="289" t="s">
        <v>667</v>
      </c>
      <c r="C306" s="289" t="s">
        <v>668</v>
      </c>
      <c r="D306" s="289" t="s">
        <v>887</v>
      </c>
      <c r="E306" s="289" t="s">
        <v>888</v>
      </c>
      <c r="F306" s="289" t="s">
        <v>889</v>
      </c>
      <c r="I306" s="289" t="str">
        <f>("0168117")</f>
        <v>0168117</v>
      </c>
    </row>
    <row r="307" spans="1:9">
      <c r="A307" s="290">
        <v>168128</v>
      </c>
      <c r="B307" s="289" t="s">
        <v>667</v>
      </c>
      <c r="C307" s="289" t="s">
        <v>668</v>
      </c>
      <c r="D307" s="289" t="s">
        <v>890</v>
      </c>
      <c r="E307" s="289" t="s">
        <v>891</v>
      </c>
      <c r="F307" s="289" t="s">
        <v>892</v>
      </c>
      <c r="I307" s="289" t="str">
        <f>("0168128")</f>
        <v>0168128</v>
      </c>
    </row>
    <row r="308" spans="1:9">
      <c r="A308" s="290">
        <v>168139</v>
      </c>
      <c r="B308" s="289" t="s">
        <v>667</v>
      </c>
      <c r="C308" s="289" t="s">
        <v>668</v>
      </c>
      <c r="D308" s="289" t="s">
        <v>893</v>
      </c>
      <c r="E308" s="289" t="s">
        <v>894</v>
      </c>
      <c r="F308" s="289" t="s">
        <v>895</v>
      </c>
      <c r="I308" s="289" t="str">
        <f>("0168139")</f>
        <v>0168139</v>
      </c>
    </row>
    <row r="309" spans="1:9">
      <c r="A309" s="290">
        <v>168140</v>
      </c>
      <c r="B309" s="289" t="s">
        <v>667</v>
      </c>
      <c r="C309" s="289" t="s">
        <v>668</v>
      </c>
      <c r="D309" s="289" t="s">
        <v>5236</v>
      </c>
      <c r="E309" s="289" t="s">
        <v>5237</v>
      </c>
      <c r="F309" s="289" t="s">
        <v>5238</v>
      </c>
      <c r="I309" s="289" t="str">
        <f>("0168140")</f>
        <v>0168140</v>
      </c>
    </row>
    <row r="310" spans="1:9">
      <c r="A310" s="290">
        <v>168151</v>
      </c>
      <c r="B310" s="289" t="s">
        <v>667</v>
      </c>
      <c r="C310" s="289" t="s">
        <v>668</v>
      </c>
      <c r="D310" s="289" t="s">
        <v>896</v>
      </c>
      <c r="E310" s="289" t="s">
        <v>897</v>
      </c>
      <c r="F310" s="289" t="s">
        <v>898</v>
      </c>
      <c r="I310" s="289" t="str">
        <f>("0168151")</f>
        <v>0168151</v>
      </c>
    </row>
    <row r="311" spans="1:9">
      <c r="A311" s="290">
        <v>168162</v>
      </c>
      <c r="B311" s="289" t="s">
        <v>667</v>
      </c>
      <c r="C311" s="289" t="s">
        <v>668</v>
      </c>
      <c r="D311" s="289" t="s">
        <v>899</v>
      </c>
      <c r="E311" s="289" t="s">
        <v>900</v>
      </c>
      <c r="F311" s="289" t="s">
        <v>901</v>
      </c>
      <c r="I311" s="289" t="str">
        <f>("0168162")</f>
        <v>0168162</v>
      </c>
    </row>
    <row r="312" spans="1:9">
      <c r="A312" s="290">
        <v>168173</v>
      </c>
      <c r="B312" s="289" t="s">
        <v>667</v>
      </c>
      <c r="C312" s="289" t="s">
        <v>668</v>
      </c>
      <c r="D312" s="289" t="s">
        <v>902</v>
      </c>
      <c r="E312" s="289" t="s">
        <v>903</v>
      </c>
      <c r="F312" s="289" t="s">
        <v>904</v>
      </c>
      <c r="I312" s="289" t="str">
        <f>("0168173")</f>
        <v>0168173</v>
      </c>
    </row>
    <row r="313" spans="1:9">
      <c r="A313" s="290">
        <v>168184</v>
      </c>
      <c r="B313" s="289" t="s">
        <v>667</v>
      </c>
      <c r="C313" s="289" t="s">
        <v>668</v>
      </c>
      <c r="D313" s="289" t="s">
        <v>905</v>
      </c>
      <c r="E313" s="289" t="s">
        <v>906</v>
      </c>
      <c r="F313" s="289" t="s">
        <v>907</v>
      </c>
      <c r="I313" s="289" t="str">
        <f>("0168184")</f>
        <v>0168184</v>
      </c>
    </row>
    <row r="314" spans="1:9">
      <c r="A314" s="290">
        <v>168195</v>
      </c>
      <c r="B314" s="289" t="s">
        <v>667</v>
      </c>
      <c r="C314" s="289" t="s">
        <v>668</v>
      </c>
      <c r="D314" s="289" t="s">
        <v>908</v>
      </c>
      <c r="E314" s="289" t="s">
        <v>909</v>
      </c>
      <c r="F314" s="289" t="s">
        <v>910</v>
      </c>
      <c r="I314" s="289" t="str">
        <f>("0168195")</f>
        <v>0168195</v>
      </c>
    </row>
    <row r="315" spans="1:9">
      <c r="A315" s="290">
        <v>168229</v>
      </c>
      <c r="B315" s="289" t="s">
        <v>667</v>
      </c>
      <c r="C315" s="289" t="s">
        <v>668</v>
      </c>
      <c r="D315" s="289" t="s">
        <v>911</v>
      </c>
      <c r="E315" s="289" t="s">
        <v>912</v>
      </c>
      <c r="F315" s="289" t="s">
        <v>913</v>
      </c>
      <c r="I315" s="289" t="str">
        <f>("0168229")</f>
        <v>0168229</v>
      </c>
    </row>
    <row r="316" spans="1:9">
      <c r="A316" s="290">
        <v>168241</v>
      </c>
      <c r="B316" s="289" t="s">
        <v>667</v>
      </c>
      <c r="C316" s="289" t="s">
        <v>668</v>
      </c>
      <c r="D316" s="289" t="s">
        <v>914</v>
      </c>
      <c r="E316" s="289" t="s">
        <v>915</v>
      </c>
      <c r="F316" s="289" t="s">
        <v>916</v>
      </c>
      <c r="I316" s="289" t="str">
        <f>("0168241")</f>
        <v>0168241</v>
      </c>
    </row>
    <row r="317" spans="1:9">
      <c r="A317" s="290">
        <v>168252</v>
      </c>
      <c r="B317" s="289" t="s">
        <v>667</v>
      </c>
      <c r="C317" s="289" t="s">
        <v>668</v>
      </c>
      <c r="D317" s="289" t="s">
        <v>917</v>
      </c>
      <c r="E317" s="289" t="s">
        <v>918</v>
      </c>
      <c r="F317" s="289" t="s">
        <v>919</v>
      </c>
      <c r="I317" s="289" t="str">
        <f>("0168252")</f>
        <v>0168252</v>
      </c>
    </row>
    <row r="318" spans="1:9">
      <c r="A318" s="290">
        <v>168263</v>
      </c>
      <c r="B318" s="289" t="s">
        <v>667</v>
      </c>
      <c r="C318" s="289" t="s">
        <v>668</v>
      </c>
      <c r="D318" s="289" t="s">
        <v>920</v>
      </c>
      <c r="E318" s="289" t="s">
        <v>921</v>
      </c>
      <c r="F318" s="289" t="s">
        <v>5239</v>
      </c>
      <c r="I318" s="289" t="str">
        <f>("0168263")</f>
        <v>0168263</v>
      </c>
    </row>
    <row r="319" spans="1:9">
      <c r="A319" s="290">
        <v>168274</v>
      </c>
      <c r="B319" s="289" t="s">
        <v>667</v>
      </c>
      <c r="C319" s="289" t="s">
        <v>668</v>
      </c>
      <c r="D319" s="289" t="s">
        <v>922</v>
      </c>
      <c r="E319" s="289" t="s">
        <v>923</v>
      </c>
      <c r="F319" s="289" t="s">
        <v>924</v>
      </c>
      <c r="I319" s="289" t="str">
        <f>("0168274")</f>
        <v>0168274</v>
      </c>
    </row>
    <row r="320" spans="1:9">
      <c r="A320" s="290">
        <v>168285</v>
      </c>
      <c r="B320" s="289" t="s">
        <v>667</v>
      </c>
      <c r="C320" s="289" t="s">
        <v>668</v>
      </c>
      <c r="D320" s="289" t="s">
        <v>925</v>
      </c>
      <c r="E320" s="289" t="s">
        <v>926</v>
      </c>
      <c r="F320" s="289" t="s">
        <v>927</v>
      </c>
      <c r="I320" s="289" t="str">
        <f>("0168285")</f>
        <v>0168285</v>
      </c>
    </row>
    <row r="321" spans="1:9">
      <c r="A321" s="290">
        <v>168308</v>
      </c>
      <c r="B321" s="289" t="s">
        <v>667</v>
      </c>
      <c r="C321" s="289" t="s">
        <v>668</v>
      </c>
      <c r="D321" s="289" t="s">
        <v>928</v>
      </c>
      <c r="E321" s="289" t="s">
        <v>929</v>
      </c>
      <c r="F321" s="289" t="s">
        <v>930</v>
      </c>
      <c r="I321" s="289" t="str">
        <f>("0168308")</f>
        <v>0168308</v>
      </c>
    </row>
    <row r="322" spans="1:9">
      <c r="A322" s="290">
        <v>168320</v>
      </c>
      <c r="B322" s="289" t="s">
        <v>667</v>
      </c>
      <c r="C322" s="289" t="s">
        <v>668</v>
      </c>
      <c r="D322" s="289" t="s">
        <v>931</v>
      </c>
      <c r="E322" s="289" t="s">
        <v>932</v>
      </c>
      <c r="F322" s="289" t="s">
        <v>4872</v>
      </c>
      <c r="I322" s="289" t="str">
        <f>("0168320")</f>
        <v>0168320</v>
      </c>
    </row>
    <row r="323" spans="1:9">
      <c r="A323" s="290">
        <v>168364</v>
      </c>
      <c r="B323" s="289" t="s">
        <v>667</v>
      </c>
      <c r="C323" s="289" t="s">
        <v>668</v>
      </c>
      <c r="D323" s="289" t="s">
        <v>933</v>
      </c>
      <c r="E323" s="289" t="s">
        <v>934</v>
      </c>
      <c r="F323" s="289" t="s">
        <v>5240</v>
      </c>
      <c r="I323" s="289" t="str">
        <f>("0168364")</f>
        <v>0168364</v>
      </c>
    </row>
    <row r="324" spans="1:9">
      <c r="A324" s="290">
        <v>168375</v>
      </c>
      <c r="B324" s="289" t="s">
        <v>667</v>
      </c>
      <c r="C324" s="289" t="s">
        <v>668</v>
      </c>
      <c r="D324" s="289" t="s">
        <v>935</v>
      </c>
      <c r="E324" s="289" t="s">
        <v>936</v>
      </c>
      <c r="F324" s="289" t="s">
        <v>937</v>
      </c>
      <c r="I324" s="289" t="str">
        <f>("0168375")</f>
        <v>0168375</v>
      </c>
    </row>
    <row r="325" spans="1:9">
      <c r="A325" s="290">
        <v>168386</v>
      </c>
      <c r="B325" s="289" t="s">
        <v>667</v>
      </c>
      <c r="C325" s="289" t="s">
        <v>668</v>
      </c>
      <c r="D325" s="289" t="s">
        <v>938</v>
      </c>
      <c r="E325" s="289" t="s">
        <v>939</v>
      </c>
      <c r="F325" s="289" t="s">
        <v>940</v>
      </c>
      <c r="I325" s="289" t="str">
        <f>("0168386")</f>
        <v>0168386</v>
      </c>
    </row>
    <row r="326" spans="1:9">
      <c r="A326" s="290">
        <v>168397</v>
      </c>
      <c r="B326" s="289" t="s">
        <v>667</v>
      </c>
      <c r="C326" s="289" t="s">
        <v>668</v>
      </c>
      <c r="D326" s="289" t="s">
        <v>941</v>
      </c>
      <c r="E326" s="289" t="s">
        <v>942</v>
      </c>
      <c r="F326" s="289" t="s">
        <v>943</v>
      </c>
      <c r="I326" s="289" t="str">
        <f>("0168397")</f>
        <v>0168397</v>
      </c>
    </row>
    <row r="327" spans="1:9">
      <c r="A327" s="290">
        <v>168421</v>
      </c>
      <c r="B327" s="289" t="s">
        <v>667</v>
      </c>
      <c r="C327" s="289" t="s">
        <v>668</v>
      </c>
      <c r="D327" s="289" t="s">
        <v>944</v>
      </c>
      <c r="E327" s="289" t="s">
        <v>945</v>
      </c>
      <c r="F327" s="289" t="s">
        <v>946</v>
      </c>
      <c r="I327" s="289" t="str">
        <f>("0168421")</f>
        <v>0168421</v>
      </c>
    </row>
    <row r="328" spans="1:9">
      <c r="A328" s="290">
        <v>168432</v>
      </c>
      <c r="B328" s="289" t="s">
        <v>667</v>
      </c>
      <c r="C328" s="289" t="s">
        <v>668</v>
      </c>
      <c r="D328" s="289" t="s">
        <v>947</v>
      </c>
      <c r="E328" s="289" t="s">
        <v>948</v>
      </c>
      <c r="F328" s="289" t="s">
        <v>949</v>
      </c>
      <c r="I328" s="289" t="str">
        <f>("0168432")</f>
        <v>0168432</v>
      </c>
    </row>
    <row r="329" spans="1:9">
      <c r="A329" s="290">
        <v>168443</v>
      </c>
      <c r="B329" s="289" t="s">
        <v>667</v>
      </c>
      <c r="C329" s="289" t="s">
        <v>668</v>
      </c>
      <c r="D329" s="289" t="s">
        <v>950</v>
      </c>
      <c r="E329" s="289" t="s">
        <v>951</v>
      </c>
      <c r="F329" s="289" t="s">
        <v>952</v>
      </c>
      <c r="I329" s="289" t="str">
        <f>("0168443")</f>
        <v>0168443</v>
      </c>
    </row>
    <row r="330" spans="1:9">
      <c r="A330" s="290">
        <v>168454</v>
      </c>
      <c r="B330" s="289" t="s">
        <v>667</v>
      </c>
      <c r="C330" s="289" t="s">
        <v>668</v>
      </c>
      <c r="D330" s="289" t="s">
        <v>953</v>
      </c>
      <c r="E330" s="289" t="s">
        <v>954</v>
      </c>
      <c r="F330" s="289" t="s">
        <v>955</v>
      </c>
      <c r="I330" s="289" t="str">
        <f>("0168454")</f>
        <v>0168454</v>
      </c>
    </row>
    <row r="331" spans="1:9">
      <c r="A331" s="290">
        <v>168465</v>
      </c>
      <c r="B331" s="289" t="s">
        <v>667</v>
      </c>
      <c r="C331" s="289" t="s">
        <v>668</v>
      </c>
      <c r="D331" s="289" t="s">
        <v>956</v>
      </c>
      <c r="E331" s="289" t="s">
        <v>957</v>
      </c>
      <c r="F331" s="289" t="s">
        <v>958</v>
      </c>
      <c r="I331" s="289" t="str">
        <f>("0168465")</f>
        <v>0168465</v>
      </c>
    </row>
    <row r="332" spans="1:9">
      <c r="A332" s="290">
        <v>168476</v>
      </c>
      <c r="B332" s="289" t="s">
        <v>667</v>
      </c>
      <c r="C332" s="289" t="s">
        <v>668</v>
      </c>
      <c r="D332" s="289" t="s">
        <v>959</v>
      </c>
      <c r="E332" s="289" t="s">
        <v>960</v>
      </c>
      <c r="F332" s="289" t="s">
        <v>961</v>
      </c>
      <c r="I332" s="289" t="str">
        <f>("0168476")</f>
        <v>0168476</v>
      </c>
    </row>
    <row r="333" spans="1:9">
      <c r="A333" s="290">
        <v>168487</v>
      </c>
      <c r="B333" s="289" t="s">
        <v>667</v>
      </c>
      <c r="C333" s="289" t="s">
        <v>668</v>
      </c>
      <c r="D333" s="289" t="s">
        <v>962</v>
      </c>
      <c r="E333" s="289" t="s">
        <v>963</v>
      </c>
      <c r="F333" s="289" t="s">
        <v>964</v>
      </c>
      <c r="I333" s="289" t="str">
        <f>("0168487")</f>
        <v>0168487</v>
      </c>
    </row>
    <row r="334" spans="1:9">
      <c r="A334" s="290">
        <v>168498</v>
      </c>
      <c r="B334" s="289" t="s">
        <v>667</v>
      </c>
      <c r="C334" s="289" t="s">
        <v>668</v>
      </c>
      <c r="D334" s="289" t="s">
        <v>965</v>
      </c>
      <c r="E334" s="289" t="s">
        <v>966</v>
      </c>
      <c r="F334" s="289" t="s">
        <v>967</v>
      </c>
      <c r="I334" s="289" t="str">
        <f>("0168498")</f>
        <v>0168498</v>
      </c>
    </row>
    <row r="335" spans="1:9">
      <c r="A335" s="290">
        <v>168500</v>
      </c>
      <c r="B335" s="289" t="s">
        <v>667</v>
      </c>
      <c r="C335" s="289" t="s">
        <v>668</v>
      </c>
      <c r="D335" s="289" t="s">
        <v>968</v>
      </c>
      <c r="E335" s="289" t="s">
        <v>969</v>
      </c>
      <c r="F335" s="289" t="s">
        <v>970</v>
      </c>
      <c r="I335" s="289" t="str">
        <f>("0168500")</f>
        <v>0168500</v>
      </c>
    </row>
    <row r="336" spans="1:9">
      <c r="A336" s="290">
        <v>168511</v>
      </c>
      <c r="B336" s="289" t="s">
        <v>667</v>
      </c>
      <c r="C336" s="289" t="s">
        <v>668</v>
      </c>
      <c r="D336" s="289" t="s">
        <v>971</v>
      </c>
      <c r="E336" s="289" t="s">
        <v>972</v>
      </c>
      <c r="F336" s="289" t="s">
        <v>973</v>
      </c>
      <c r="I336" s="289" t="str">
        <f>("0168511")</f>
        <v>0168511</v>
      </c>
    </row>
    <row r="337" spans="1:9">
      <c r="A337" s="290">
        <v>168522</v>
      </c>
      <c r="B337" s="289" t="s">
        <v>667</v>
      </c>
      <c r="C337" s="289" t="s">
        <v>668</v>
      </c>
      <c r="D337" s="289" t="s">
        <v>974</v>
      </c>
      <c r="E337" s="289" t="s">
        <v>975</v>
      </c>
      <c r="F337" s="289" t="s">
        <v>976</v>
      </c>
      <c r="I337" s="289" t="str">
        <f>("0168522")</f>
        <v>0168522</v>
      </c>
    </row>
    <row r="338" spans="1:9">
      <c r="A338" s="290">
        <v>168533</v>
      </c>
      <c r="B338" s="289" t="s">
        <v>667</v>
      </c>
      <c r="C338" s="289" t="s">
        <v>668</v>
      </c>
      <c r="D338" s="289" t="s">
        <v>977</v>
      </c>
      <c r="E338" s="289" t="s">
        <v>978</v>
      </c>
      <c r="F338" s="289" t="s">
        <v>979</v>
      </c>
      <c r="I338" s="289" t="str">
        <f>("0168533")</f>
        <v>0168533</v>
      </c>
    </row>
    <row r="339" spans="1:9">
      <c r="A339" s="290">
        <v>168544</v>
      </c>
      <c r="B339" s="289" t="s">
        <v>667</v>
      </c>
      <c r="C339" s="289" t="s">
        <v>668</v>
      </c>
      <c r="D339" s="289" t="s">
        <v>980</v>
      </c>
      <c r="E339" s="289" t="s">
        <v>981</v>
      </c>
      <c r="F339" s="289" t="s">
        <v>982</v>
      </c>
      <c r="I339" s="289" t="str">
        <f>("0168544")</f>
        <v>0168544</v>
      </c>
    </row>
    <row r="340" spans="1:9">
      <c r="A340" s="290">
        <v>168555</v>
      </c>
      <c r="B340" s="289" t="s">
        <v>667</v>
      </c>
      <c r="C340" s="289" t="s">
        <v>668</v>
      </c>
      <c r="D340" s="289" t="s">
        <v>983</v>
      </c>
      <c r="E340" s="289" t="s">
        <v>984</v>
      </c>
      <c r="F340" s="289" t="s">
        <v>985</v>
      </c>
      <c r="I340" s="289" t="str">
        <f>("0168555")</f>
        <v>0168555</v>
      </c>
    </row>
    <row r="341" spans="1:9">
      <c r="A341" s="290">
        <v>168566</v>
      </c>
      <c r="B341" s="289" t="s">
        <v>667</v>
      </c>
      <c r="C341" s="289" t="s">
        <v>668</v>
      </c>
      <c r="D341" s="289" t="s">
        <v>986</v>
      </c>
      <c r="E341" s="289" t="s">
        <v>987</v>
      </c>
      <c r="F341" s="289" t="s">
        <v>988</v>
      </c>
      <c r="I341" s="289" t="str">
        <f>("0168566")</f>
        <v>0168566</v>
      </c>
    </row>
    <row r="342" spans="1:9">
      <c r="A342" s="290">
        <v>168588</v>
      </c>
      <c r="B342" s="289" t="s">
        <v>667</v>
      </c>
      <c r="C342" s="289" t="s">
        <v>668</v>
      </c>
      <c r="D342" s="289" t="s">
        <v>989</v>
      </c>
      <c r="E342" s="289" t="s">
        <v>990</v>
      </c>
      <c r="F342" s="289" t="s">
        <v>991</v>
      </c>
      <c r="I342" s="289" t="str">
        <f>("0168588")</f>
        <v>0168588</v>
      </c>
    </row>
    <row r="343" spans="1:9">
      <c r="A343" s="290">
        <v>168599</v>
      </c>
      <c r="B343" s="289" t="s">
        <v>667</v>
      </c>
      <c r="C343" s="289" t="s">
        <v>668</v>
      </c>
      <c r="D343" s="289" t="s">
        <v>992</v>
      </c>
      <c r="E343" s="289" t="s">
        <v>993</v>
      </c>
      <c r="F343" s="289" t="s">
        <v>994</v>
      </c>
      <c r="I343" s="289" t="str">
        <f>("0168599")</f>
        <v>0168599</v>
      </c>
    </row>
    <row r="344" spans="1:9">
      <c r="A344" s="290">
        <v>168601</v>
      </c>
      <c r="B344" s="289" t="s">
        <v>667</v>
      </c>
      <c r="C344" s="289" t="s">
        <v>668</v>
      </c>
      <c r="D344" s="289" t="s">
        <v>995</v>
      </c>
      <c r="E344" s="289" t="s">
        <v>996</v>
      </c>
      <c r="F344" s="289" t="s">
        <v>997</v>
      </c>
      <c r="I344" s="289" t="str">
        <f>("0168601")</f>
        <v>0168601</v>
      </c>
    </row>
    <row r="345" spans="1:9">
      <c r="A345" s="290">
        <v>168612</v>
      </c>
      <c r="B345" s="289" t="s">
        <v>667</v>
      </c>
      <c r="C345" s="289" t="s">
        <v>668</v>
      </c>
      <c r="D345" s="289" t="s">
        <v>4681</v>
      </c>
      <c r="E345" s="289" t="s">
        <v>4682</v>
      </c>
      <c r="F345" s="289" t="s">
        <v>4683</v>
      </c>
      <c r="I345" s="289" t="str">
        <f>("0168612")</f>
        <v>0168612</v>
      </c>
    </row>
    <row r="346" spans="1:9">
      <c r="A346" s="290">
        <v>168634</v>
      </c>
      <c r="B346" s="289" t="s">
        <v>667</v>
      </c>
      <c r="C346" s="289" t="s">
        <v>668</v>
      </c>
      <c r="D346" s="289" t="s">
        <v>998</v>
      </c>
      <c r="E346" s="289" t="s">
        <v>999</v>
      </c>
      <c r="F346" s="289" t="s">
        <v>1000</v>
      </c>
      <c r="I346" s="289" t="str">
        <f>("0168634")</f>
        <v>0168634</v>
      </c>
    </row>
    <row r="347" spans="1:9">
      <c r="A347" s="290">
        <v>168645</v>
      </c>
      <c r="B347" s="289" t="s">
        <v>667</v>
      </c>
      <c r="C347" s="289" t="s">
        <v>668</v>
      </c>
      <c r="D347" s="289" t="s">
        <v>1001</v>
      </c>
      <c r="E347" s="289" t="s">
        <v>1002</v>
      </c>
      <c r="F347" s="289" t="s">
        <v>1003</v>
      </c>
      <c r="I347" s="289" t="str">
        <f>("0168645")</f>
        <v>0168645</v>
      </c>
    </row>
    <row r="348" spans="1:9">
      <c r="A348" s="290">
        <v>168656</v>
      </c>
      <c r="B348" s="289" t="s">
        <v>667</v>
      </c>
      <c r="C348" s="289" t="s">
        <v>668</v>
      </c>
      <c r="D348" s="289" t="s">
        <v>1004</v>
      </c>
      <c r="E348" s="289" t="s">
        <v>1005</v>
      </c>
      <c r="F348" s="289" t="s">
        <v>4684</v>
      </c>
      <c r="I348" s="289" t="str">
        <f>("0168656")</f>
        <v>0168656</v>
      </c>
    </row>
    <row r="349" spans="1:9">
      <c r="A349" s="290">
        <v>168689</v>
      </c>
      <c r="B349" s="289" t="s">
        <v>667</v>
      </c>
      <c r="C349" s="289" t="s">
        <v>668</v>
      </c>
      <c r="D349" s="289" t="s">
        <v>1006</v>
      </c>
      <c r="E349" s="289" t="s">
        <v>1007</v>
      </c>
      <c r="F349" s="289" t="s">
        <v>1008</v>
      </c>
      <c r="I349" s="289" t="str">
        <f>("0168689")</f>
        <v>0168689</v>
      </c>
    </row>
    <row r="350" spans="1:9">
      <c r="A350" s="290">
        <v>168690</v>
      </c>
      <c r="B350" s="289" t="s">
        <v>667</v>
      </c>
      <c r="C350" s="289" t="s">
        <v>668</v>
      </c>
      <c r="D350" s="289" t="s">
        <v>1009</v>
      </c>
      <c r="E350" s="289" t="s">
        <v>1010</v>
      </c>
      <c r="F350" s="289" t="s">
        <v>1011</v>
      </c>
      <c r="I350" s="289" t="str">
        <f>("0168690")</f>
        <v>0168690</v>
      </c>
    </row>
    <row r="351" spans="1:9">
      <c r="A351" s="290">
        <v>168702</v>
      </c>
      <c r="B351" s="289" t="s">
        <v>667</v>
      </c>
      <c r="C351" s="289" t="s">
        <v>668</v>
      </c>
      <c r="D351" s="289" t="s">
        <v>1012</v>
      </c>
      <c r="E351" s="289" t="s">
        <v>1013</v>
      </c>
      <c r="F351" s="289" t="s">
        <v>1014</v>
      </c>
      <c r="I351" s="289" t="str">
        <f>("0168702")</f>
        <v>0168702</v>
      </c>
    </row>
    <row r="352" spans="1:9">
      <c r="A352" s="290">
        <v>168713</v>
      </c>
      <c r="B352" s="289" t="s">
        <v>667</v>
      </c>
      <c r="C352" s="289" t="s">
        <v>668</v>
      </c>
      <c r="D352" s="289" t="s">
        <v>1015</v>
      </c>
      <c r="E352" s="289" t="s">
        <v>1016</v>
      </c>
      <c r="F352" s="289" t="s">
        <v>1017</v>
      </c>
      <c r="I352" s="289" t="str">
        <f>("0168713")</f>
        <v>0168713</v>
      </c>
    </row>
    <row r="353" spans="1:9">
      <c r="A353" s="290">
        <v>168724</v>
      </c>
      <c r="B353" s="289" t="s">
        <v>667</v>
      </c>
      <c r="C353" s="289" t="s">
        <v>668</v>
      </c>
      <c r="D353" s="289" t="s">
        <v>1018</v>
      </c>
      <c r="E353" s="289" t="s">
        <v>1019</v>
      </c>
      <c r="F353" s="289" t="s">
        <v>1020</v>
      </c>
      <c r="I353" s="289" t="str">
        <f>("0168724")</f>
        <v>0168724</v>
      </c>
    </row>
    <row r="354" spans="1:9">
      <c r="A354" s="290">
        <v>168735</v>
      </c>
      <c r="B354" s="289" t="s">
        <v>667</v>
      </c>
      <c r="C354" s="289" t="s">
        <v>668</v>
      </c>
      <c r="D354" s="289" t="s">
        <v>1021</v>
      </c>
      <c r="E354" s="289" t="s">
        <v>1021</v>
      </c>
      <c r="F354" s="289" t="s">
        <v>1022</v>
      </c>
      <c r="I354" s="289" t="str">
        <f>("0168735")</f>
        <v>0168735</v>
      </c>
    </row>
    <row r="355" spans="1:9">
      <c r="A355" s="290">
        <v>168746</v>
      </c>
      <c r="B355" s="289" t="s">
        <v>667</v>
      </c>
      <c r="C355" s="289" t="s">
        <v>668</v>
      </c>
      <c r="D355" s="289" t="s">
        <v>1023</v>
      </c>
      <c r="E355" s="289" t="s">
        <v>1024</v>
      </c>
      <c r="F355" s="289" t="s">
        <v>1025</v>
      </c>
      <c r="I355" s="289" t="str">
        <f>("0168746")</f>
        <v>0168746</v>
      </c>
    </row>
    <row r="356" spans="1:9">
      <c r="A356" s="290">
        <v>168757</v>
      </c>
      <c r="B356" s="289" t="s">
        <v>667</v>
      </c>
      <c r="C356" s="289" t="s">
        <v>668</v>
      </c>
      <c r="D356" s="289" t="s">
        <v>1026</v>
      </c>
      <c r="E356" s="289" t="s">
        <v>1027</v>
      </c>
      <c r="F356" s="289" t="s">
        <v>1028</v>
      </c>
      <c r="I356" s="289" t="str">
        <f>("0168757")</f>
        <v>0168757</v>
      </c>
    </row>
    <row r="357" spans="1:9">
      <c r="A357" s="290">
        <v>168779</v>
      </c>
      <c r="B357" s="289" t="s">
        <v>667</v>
      </c>
      <c r="C357" s="289" t="s">
        <v>668</v>
      </c>
      <c r="D357" s="289" t="s">
        <v>1029</v>
      </c>
      <c r="E357" s="289" t="s">
        <v>1030</v>
      </c>
      <c r="F357" s="289" t="s">
        <v>1031</v>
      </c>
      <c r="I357" s="289" t="str">
        <f>("0168779")</f>
        <v>0168779</v>
      </c>
    </row>
    <row r="358" spans="1:9">
      <c r="A358" s="290">
        <v>168780</v>
      </c>
      <c r="B358" s="289" t="s">
        <v>667</v>
      </c>
      <c r="C358" s="289" t="s">
        <v>668</v>
      </c>
      <c r="D358" s="289" t="s">
        <v>1032</v>
      </c>
      <c r="E358" s="289" t="s">
        <v>1033</v>
      </c>
      <c r="F358" s="289" t="s">
        <v>1034</v>
      </c>
      <c r="I358" s="289" t="str">
        <f>("0168780")</f>
        <v>0168780</v>
      </c>
    </row>
    <row r="359" spans="1:9">
      <c r="A359" s="290">
        <v>168803</v>
      </c>
      <c r="B359" s="289" t="s">
        <v>667</v>
      </c>
      <c r="C359" s="289" t="s">
        <v>668</v>
      </c>
      <c r="D359" s="289" t="s">
        <v>1035</v>
      </c>
      <c r="E359" s="289" t="s">
        <v>1036</v>
      </c>
      <c r="F359" s="289" t="s">
        <v>1037</v>
      </c>
      <c r="I359" s="289" t="str">
        <f>("0168803")</f>
        <v>0168803</v>
      </c>
    </row>
    <row r="360" spans="1:9">
      <c r="A360" s="290">
        <v>168814</v>
      </c>
      <c r="B360" s="289" t="s">
        <v>667</v>
      </c>
      <c r="C360" s="289" t="s">
        <v>668</v>
      </c>
      <c r="D360" s="289" t="s">
        <v>1038</v>
      </c>
      <c r="E360" s="289" t="s">
        <v>1039</v>
      </c>
      <c r="F360" s="289" t="s">
        <v>1040</v>
      </c>
      <c r="I360" s="289" t="str">
        <f>("0168814")</f>
        <v>0168814</v>
      </c>
    </row>
    <row r="361" spans="1:9">
      <c r="A361" s="290">
        <v>210957</v>
      </c>
      <c r="B361" s="289" t="s">
        <v>667</v>
      </c>
      <c r="C361" s="289" t="s">
        <v>668</v>
      </c>
      <c r="D361" s="289" t="s">
        <v>1049</v>
      </c>
      <c r="E361" s="289" t="s">
        <v>1050</v>
      </c>
      <c r="F361" s="289" t="s">
        <v>1051</v>
      </c>
      <c r="I361" s="289" t="str">
        <f>("0210957")</f>
        <v>0210957</v>
      </c>
    </row>
    <row r="362" spans="1:9">
      <c r="A362" s="290">
        <v>212645</v>
      </c>
      <c r="B362" s="289" t="s">
        <v>667</v>
      </c>
      <c r="C362" s="289" t="s">
        <v>668</v>
      </c>
      <c r="D362" s="289" t="s">
        <v>1443</v>
      </c>
      <c r="E362" s="289" t="s">
        <v>1444</v>
      </c>
      <c r="F362" s="289" t="s">
        <v>1445</v>
      </c>
      <c r="I362" s="289" t="str">
        <f>("0212645")</f>
        <v>0212645</v>
      </c>
    </row>
    <row r="363" spans="1:9">
      <c r="A363" s="290">
        <v>212678</v>
      </c>
      <c r="B363" s="289" t="s">
        <v>667</v>
      </c>
      <c r="C363" s="289" t="s">
        <v>668</v>
      </c>
      <c r="D363" s="289" t="s">
        <v>1446</v>
      </c>
      <c r="E363" s="289" t="s">
        <v>1447</v>
      </c>
      <c r="F363" s="289" t="s">
        <v>1448</v>
      </c>
      <c r="I363" s="289" t="str">
        <f>("0212678")</f>
        <v>0212678</v>
      </c>
    </row>
    <row r="364" spans="1:9">
      <c r="A364" s="290">
        <v>212689</v>
      </c>
      <c r="B364" s="289" t="s">
        <v>667</v>
      </c>
      <c r="C364" s="289" t="s">
        <v>668</v>
      </c>
      <c r="D364" s="289" t="s">
        <v>1449</v>
      </c>
      <c r="E364" s="289" t="s">
        <v>1450</v>
      </c>
      <c r="F364" s="289" t="s">
        <v>1451</v>
      </c>
      <c r="I364" s="289" t="str">
        <f>("0212689")</f>
        <v>0212689</v>
      </c>
    </row>
    <row r="365" spans="1:9">
      <c r="A365" s="290">
        <v>212702</v>
      </c>
      <c r="B365" s="289" t="s">
        <v>667</v>
      </c>
      <c r="C365" s="289" t="s">
        <v>668</v>
      </c>
      <c r="D365" s="289" t="s">
        <v>1452</v>
      </c>
      <c r="E365" s="289" t="s">
        <v>1453</v>
      </c>
      <c r="F365" s="289" t="s">
        <v>1454</v>
      </c>
      <c r="I365" s="289" t="str">
        <f>("0212702")</f>
        <v>0212702</v>
      </c>
    </row>
    <row r="366" spans="1:9">
      <c r="A366" s="290">
        <v>212713</v>
      </c>
      <c r="B366" s="289" t="s">
        <v>667</v>
      </c>
      <c r="C366" s="289" t="s">
        <v>668</v>
      </c>
      <c r="D366" s="289" t="s">
        <v>1455</v>
      </c>
      <c r="E366" s="289" t="s">
        <v>1456</v>
      </c>
      <c r="F366" s="289" t="s">
        <v>1457</v>
      </c>
      <c r="I366" s="289" t="str">
        <f>("0212713")</f>
        <v>0212713</v>
      </c>
    </row>
    <row r="367" spans="1:9">
      <c r="A367" s="290">
        <v>212735</v>
      </c>
      <c r="B367" s="289" t="s">
        <v>667</v>
      </c>
      <c r="C367" s="289" t="s">
        <v>668</v>
      </c>
      <c r="D367" s="289" t="s">
        <v>4687</v>
      </c>
      <c r="E367" s="289" t="s">
        <v>4688</v>
      </c>
      <c r="F367" s="289" t="s">
        <v>1458</v>
      </c>
      <c r="I367" s="289" t="str">
        <f>("0212735")</f>
        <v>0212735</v>
      </c>
    </row>
    <row r="368" spans="1:9">
      <c r="A368" s="290">
        <v>212779</v>
      </c>
      <c r="B368" s="289" t="s">
        <v>667</v>
      </c>
      <c r="C368" s="289" t="s">
        <v>668</v>
      </c>
      <c r="D368" s="289" t="s">
        <v>1459</v>
      </c>
      <c r="E368" s="289" t="s">
        <v>1460</v>
      </c>
      <c r="F368" s="289" t="s">
        <v>1461</v>
      </c>
      <c r="I368" s="289" t="str">
        <f>("0212779")</f>
        <v>0212779</v>
      </c>
    </row>
    <row r="369" spans="1:9">
      <c r="A369" s="290">
        <v>212780</v>
      </c>
      <c r="B369" s="289" t="s">
        <v>667</v>
      </c>
      <c r="C369" s="289" t="s">
        <v>668</v>
      </c>
      <c r="D369" s="289" t="s">
        <v>1462</v>
      </c>
      <c r="E369" s="289" t="s">
        <v>1463</v>
      </c>
      <c r="F369" s="289" t="s">
        <v>1464</v>
      </c>
      <c r="I369" s="289" t="str">
        <f>("0212780")</f>
        <v>0212780</v>
      </c>
    </row>
    <row r="370" spans="1:9">
      <c r="A370" s="290">
        <v>212803</v>
      </c>
      <c r="B370" s="289" t="s">
        <v>667</v>
      </c>
      <c r="C370" s="289" t="s">
        <v>668</v>
      </c>
      <c r="D370" s="289" t="s">
        <v>1465</v>
      </c>
      <c r="E370" s="289" t="s">
        <v>1466</v>
      </c>
      <c r="F370" s="289" t="s">
        <v>1467</v>
      </c>
      <c r="I370" s="289" t="str">
        <f>("0212803")</f>
        <v>0212803</v>
      </c>
    </row>
    <row r="371" spans="1:9">
      <c r="A371" s="290">
        <v>212814</v>
      </c>
      <c r="B371" s="289" t="s">
        <v>667</v>
      </c>
      <c r="C371" s="289" t="s">
        <v>668</v>
      </c>
      <c r="D371" s="289" t="s">
        <v>1468</v>
      </c>
      <c r="E371" s="289" t="s">
        <v>1469</v>
      </c>
      <c r="F371" s="289" t="s">
        <v>1470</v>
      </c>
      <c r="I371" s="289" t="str">
        <f>("0212814")</f>
        <v>0212814</v>
      </c>
    </row>
    <row r="372" spans="1:9">
      <c r="A372" s="290">
        <v>212825</v>
      </c>
      <c r="B372" s="289" t="s">
        <v>667</v>
      </c>
      <c r="C372" s="289" t="s">
        <v>668</v>
      </c>
      <c r="D372" s="289" t="s">
        <v>1471</v>
      </c>
      <c r="E372" s="289" t="s">
        <v>1472</v>
      </c>
      <c r="F372" s="289" t="s">
        <v>1473</v>
      </c>
      <c r="I372" s="289" t="str">
        <f>("0212825")</f>
        <v>0212825</v>
      </c>
    </row>
    <row r="373" spans="1:9">
      <c r="A373" s="290">
        <v>212836</v>
      </c>
      <c r="B373" s="289" t="s">
        <v>667</v>
      </c>
      <c r="C373" s="289" t="s">
        <v>668</v>
      </c>
      <c r="D373" s="289" t="s">
        <v>1474</v>
      </c>
      <c r="E373" s="289" t="s">
        <v>1475</v>
      </c>
      <c r="F373" s="289" t="s">
        <v>1476</v>
      </c>
      <c r="I373" s="289" t="str">
        <f>("0212836")</f>
        <v>0212836</v>
      </c>
    </row>
    <row r="374" spans="1:9">
      <c r="A374" s="290">
        <v>212847</v>
      </c>
      <c r="B374" s="289" t="s">
        <v>667</v>
      </c>
      <c r="C374" s="289" t="s">
        <v>668</v>
      </c>
      <c r="D374" s="289" t="s">
        <v>1477</v>
      </c>
      <c r="E374" s="289" t="s">
        <v>1478</v>
      </c>
      <c r="F374" s="289" t="s">
        <v>1479</v>
      </c>
      <c r="I374" s="289" t="str">
        <f>("0212847")</f>
        <v>0212847</v>
      </c>
    </row>
    <row r="375" spans="1:9">
      <c r="A375" s="290">
        <v>212869</v>
      </c>
      <c r="B375" s="289" t="s">
        <v>667</v>
      </c>
      <c r="C375" s="289" t="s">
        <v>668</v>
      </c>
      <c r="D375" s="289" t="s">
        <v>1480</v>
      </c>
      <c r="E375" s="289" t="s">
        <v>1481</v>
      </c>
      <c r="F375" s="289" t="s">
        <v>1482</v>
      </c>
      <c r="I375" s="289" t="str">
        <f>("0212869")</f>
        <v>0212869</v>
      </c>
    </row>
    <row r="376" spans="1:9">
      <c r="A376" s="290">
        <v>212870</v>
      </c>
      <c r="B376" s="289" t="s">
        <v>667</v>
      </c>
      <c r="C376" s="289" t="s">
        <v>668</v>
      </c>
      <c r="D376" s="289" t="s">
        <v>1483</v>
      </c>
      <c r="E376" s="289" t="s">
        <v>1484</v>
      </c>
      <c r="F376" s="289" t="s">
        <v>1485</v>
      </c>
      <c r="I376" s="289" t="str">
        <f>("0212870")</f>
        <v>0212870</v>
      </c>
    </row>
    <row r="377" spans="1:9">
      <c r="A377" s="290">
        <v>212892</v>
      </c>
      <c r="B377" s="289" t="s">
        <v>667</v>
      </c>
      <c r="C377" s="289" t="s">
        <v>668</v>
      </c>
      <c r="D377" s="289" t="s">
        <v>5241</v>
      </c>
      <c r="E377" s="289" t="s">
        <v>5242</v>
      </c>
      <c r="F377" s="289" t="s">
        <v>5243</v>
      </c>
      <c r="I377" s="289" t="str">
        <f>("0212892")</f>
        <v>0212892</v>
      </c>
    </row>
    <row r="378" spans="1:9">
      <c r="A378" s="290">
        <v>212960</v>
      </c>
      <c r="B378" s="289" t="s">
        <v>667</v>
      </c>
      <c r="C378" s="289" t="s">
        <v>668</v>
      </c>
      <c r="D378" s="289" t="s">
        <v>1486</v>
      </c>
      <c r="E378" s="289" t="s">
        <v>1487</v>
      </c>
      <c r="F378" s="289" t="s">
        <v>1488</v>
      </c>
      <c r="I378" s="289" t="str">
        <f>("0212960")</f>
        <v>0212960</v>
      </c>
    </row>
    <row r="379" spans="1:9">
      <c r="A379" s="290">
        <v>213051</v>
      </c>
      <c r="B379" s="289" t="s">
        <v>667</v>
      </c>
      <c r="C379" s="289" t="s">
        <v>668</v>
      </c>
      <c r="D379" s="289" t="s">
        <v>1489</v>
      </c>
      <c r="E379" s="289" t="s">
        <v>1490</v>
      </c>
      <c r="F379" s="289" t="s">
        <v>1491</v>
      </c>
      <c r="I379" s="289" t="str">
        <f>("0213051")</f>
        <v>0213051</v>
      </c>
    </row>
    <row r="380" spans="1:9">
      <c r="A380" s="290">
        <v>213130</v>
      </c>
      <c r="B380" s="289" t="s">
        <v>667</v>
      </c>
      <c r="C380" s="289" t="s">
        <v>668</v>
      </c>
      <c r="D380" s="289" t="s">
        <v>1492</v>
      </c>
      <c r="E380" s="289" t="s">
        <v>1493</v>
      </c>
      <c r="F380" s="289" t="s">
        <v>1494</v>
      </c>
      <c r="I380" s="289" t="str">
        <f>("0213130")</f>
        <v>0213130</v>
      </c>
    </row>
    <row r="381" spans="1:9">
      <c r="A381" s="290">
        <v>213208</v>
      </c>
      <c r="B381" s="289" t="s">
        <v>667</v>
      </c>
      <c r="C381" s="289" t="s">
        <v>668</v>
      </c>
      <c r="D381" s="289" t="s">
        <v>1495</v>
      </c>
      <c r="E381" s="289" t="s">
        <v>1496</v>
      </c>
      <c r="F381" s="289" t="s">
        <v>1497</v>
      </c>
      <c r="I381" s="289" t="str">
        <f>("0213208")</f>
        <v>0213208</v>
      </c>
    </row>
    <row r="382" spans="1:9">
      <c r="A382" s="290">
        <v>213253</v>
      </c>
      <c r="B382" s="289" t="s">
        <v>34</v>
      </c>
      <c r="C382" s="289" t="s">
        <v>35</v>
      </c>
      <c r="D382" s="289" t="s">
        <v>1498</v>
      </c>
      <c r="E382" s="289" t="s">
        <v>1499</v>
      </c>
      <c r="F382" s="289" t="s">
        <v>1500</v>
      </c>
      <c r="I382" s="289" t="str">
        <f>("0213253")</f>
        <v>0213253</v>
      </c>
    </row>
    <row r="383" spans="1:9">
      <c r="A383" s="290">
        <v>213297</v>
      </c>
      <c r="B383" s="289" t="s">
        <v>34</v>
      </c>
      <c r="C383" s="289" t="s">
        <v>35</v>
      </c>
      <c r="D383" s="289" t="s">
        <v>5244</v>
      </c>
      <c r="E383" s="289" t="s">
        <v>5245</v>
      </c>
      <c r="F383" s="289" t="s">
        <v>5246</v>
      </c>
      <c r="I383" s="289" t="str">
        <f>("0213297")</f>
        <v>0213297</v>
      </c>
    </row>
    <row r="384" spans="1:9">
      <c r="A384" s="290">
        <v>213365</v>
      </c>
      <c r="B384" s="289" t="s">
        <v>34</v>
      </c>
      <c r="C384" s="289" t="s">
        <v>35</v>
      </c>
      <c r="D384" s="289" t="s">
        <v>1501</v>
      </c>
      <c r="E384" s="289" t="s">
        <v>1502</v>
      </c>
      <c r="F384" s="289" t="s">
        <v>1503</v>
      </c>
      <c r="I384" s="289" t="str">
        <f>("0213365")</f>
        <v>0213365</v>
      </c>
    </row>
    <row r="385" spans="1:9">
      <c r="A385" s="290">
        <v>213398</v>
      </c>
      <c r="B385" s="289" t="s">
        <v>34</v>
      </c>
      <c r="C385" s="289" t="s">
        <v>35</v>
      </c>
      <c r="D385" s="289" t="s">
        <v>1504</v>
      </c>
      <c r="E385" s="289" t="s">
        <v>1505</v>
      </c>
      <c r="F385" s="289" t="s">
        <v>1506</v>
      </c>
      <c r="I385" s="289" t="str">
        <f>("0213398")</f>
        <v>0213398</v>
      </c>
    </row>
    <row r="386" spans="1:9">
      <c r="A386" s="290">
        <v>213545</v>
      </c>
      <c r="B386" s="289" t="s">
        <v>34</v>
      </c>
      <c r="C386" s="289" t="s">
        <v>35</v>
      </c>
      <c r="D386" s="289" t="s">
        <v>1507</v>
      </c>
      <c r="E386" s="289" t="s">
        <v>1508</v>
      </c>
      <c r="F386" s="289" t="s">
        <v>1509</v>
      </c>
      <c r="I386" s="289" t="str">
        <f>("0213545")</f>
        <v>0213545</v>
      </c>
    </row>
    <row r="387" spans="1:9">
      <c r="A387" s="290">
        <v>213680</v>
      </c>
      <c r="B387" s="289" t="s">
        <v>34</v>
      </c>
      <c r="C387" s="289" t="s">
        <v>35</v>
      </c>
      <c r="D387" s="289" t="s">
        <v>1510</v>
      </c>
      <c r="E387" s="289" t="s">
        <v>1511</v>
      </c>
      <c r="F387" s="289" t="s">
        <v>1512</v>
      </c>
      <c r="I387" s="289" t="str">
        <f>("0213680")</f>
        <v>0213680</v>
      </c>
    </row>
    <row r="388" spans="1:9">
      <c r="A388" s="290">
        <v>213905</v>
      </c>
      <c r="B388" s="289" t="s">
        <v>34</v>
      </c>
      <c r="C388" s="289" t="s">
        <v>35</v>
      </c>
      <c r="D388" s="289" t="s">
        <v>1513</v>
      </c>
      <c r="E388" s="289" t="s">
        <v>1514</v>
      </c>
      <c r="F388" s="289" t="s">
        <v>1515</v>
      </c>
      <c r="I388" s="289" t="str">
        <f>("0213905")</f>
        <v>0213905</v>
      </c>
    </row>
    <row r="389" spans="1:9">
      <c r="A389" s="290">
        <v>213949</v>
      </c>
      <c r="B389" s="289" t="s">
        <v>34</v>
      </c>
      <c r="C389" s="289" t="s">
        <v>184</v>
      </c>
      <c r="D389" s="289" t="s">
        <v>1516</v>
      </c>
      <c r="E389" s="289" t="s">
        <v>1517</v>
      </c>
      <c r="F389" s="289" t="s">
        <v>1518</v>
      </c>
      <c r="I389" s="289" t="str">
        <f>("0213949")</f>
        <v>0213949</v>
      </c>
    </row>
    <row r="390" spans="1:9">
      <c r="A390" s="290">
        <v>213950</v>
      </c>
      <c r="B390" s="289" t="s">
        <v>34</v>
      </c>
      <c r="C390" s="289" t="s">
        <v>184</v>
      </c>
      <c r="D390" s="289" t="s">
        <v>1519</v>
      </c>
      <c r="E390" s="289" t="s">
        <v>1520</v>
      </c>
      <c r="F390" s="289" t="s">
        <v>1521</v>
      </c>
      <c r="I390" s="289" t="str">
        <f>("0213950")</f>
        <v>0213950</v>
      </c>
    </row>
    <row r="391" spans="1:9">
      <c r="A391" s="290">
        <v>213961</v>
      </c>
      <c r="B391" s="289" t="s">
        <v>34</v>
      </c>
      <c r="C391" s="289" t="s">
        <v>184</v>
      </c>
      <c r="D391" s="289" t="s">
        <v>1522</v>
      </c>
      <c r="E391" s="289" t="s">
        <v>1523</v>
      </c>
      <c r="F391" s="289" t="s">
        <v>1524</v>
      </c>
      <c r="I391" s="289" t="str">
        <f>("0213961")</f>
        <v>0213961</v>
      </c>
    </row>
    <row r="392" spans="1:9">
      <c r="A392" s="290">
        <v>213972</v>
      </c>
      <c r="B392" s="289" t="s">
        <v>34</v>
      </c>
      <c r="C392" s="289" t="s">
        <v>184</v>
      </c>
      <c r="D392" s="289" t="s">
        <v>1525</v>
      </c>
      <c r="E392" s="289" t="s">
        <v>1526</v>
      </c>
      <c r="F392" s="289" t="s">
        <v>1527</v>
      </c>
      <c r="I392" s="289" t="str">
        <f>("0213972")</f>
        <v>0213972</v>
      </c>
    </row>
    <row r="393" spans="1:9">
      <c r="A393" s="290">
        <v>213983</v>
      </c>
      <c r="B393" s="289" t="s">
        <v>34</v>
      </c>
      <c r="C393" s="289" t="s">
        <v>184</v>
      </c>
      <c r="D393" s="289" t="s">
        <v>1528</v>
      </c>
      <c r="E393" s="289" t="s">
        <v>1529</v>
      </c>
      <c r="F393" s="289" t="s">
        <v>1530</v>
      </c>
      <c r="I393" s="289" t="str">
        <f>("0213983")</f>
        <v>0213983</v>
      </c>
    </row>
    <row r="394" spans="1:9">
      <c r="A394" s="290">
        <v>213994</v>
      </c>
      <c r="B394" s="289" t="s">
        <v>34</v>
      </c>
      <c r="C394" s="289" t="s">
        <v>184</v>
      </c>
      <c r="D394" s="289" t="s">
        <v>1531</v>
      </c>
      <c r="E394" s="289" t="s">
        <v>1532</v>
      </c>
      <c r="F394" s="289" t="s">
        <v>1533</v>
      </c>
      <c r="I394" s="289" t="str">
        <f>("0213994")</f>
        <v>0213994</v>
      </c>
    </row>
    <row r="395" spans="1:9">
      <c r="A395" s="290">
        <v>214007</v>
      </c>
      <c r="B395" s="289" t="s">
        <v>34</v>
      </c>
      <c r="C395" s="289" t="s">
        <v>184</v>
      </c>
      <c r="D395" s="289" t="s">
        <v>1534</v>
      </c>
      <c r="E395" s="289" t="s">
        <v>1535</v>
      </c>
      <c r="F395" s="289" t="s">
        <v>1536</v>
      </c>
      <c r="I395" s="289" t="str">
        <f>("0214007")</f>
        <v>0214007</v>
      </c>
    </row>
    <row r="396" spans="1:9">
      <c r="A396" s="290">
        <v>214175</v>
      </c>
      <c r="B396" s="289" t="s">
        <v>1537</v>
      </c>
      <c r="C396" s="289" t="s">
        <v>1538</v>
      </c>
      <c r="D396" s="289" t="s">
        <v>1540</v>
      </c>
      <c r="E396" s="289" t="s">
        <v>1541</v>
      </c>
      <c r="F396" s="289" t="s">
        <v>1542</v>
      </c>
      <c r="I396" s="289" t="str">
        <f>("0214175")</f>
        <v>0214175</v>
      </c>
    </row>
    <row r="397" spans="1:9">
      <c r="A397" s="290">
        <v>214197</v>
      </c>
      <c r="B397" s="289" t="s">
        <v>1537</v>
      </c>
      <c r="C397" s="289" t="s">
        <v>1543</v>
      </c>
      <c r="D397" s="289" t="s">
        <v>1544</v>
      </c>
      <c r="E397" s="289" t="s">
        <v>1545</v>
      </c>
      <c r="F397" s="289" t="s">
        <v>1546</v>
      </c>
      <c r="I397" s="289" t="str">
        <f>("0214197")</f>
        <v>0214197</v>
      </c>
    </row>
    <row r="398" spans="1:9">
      <c r="A398" s="290">
        <v>214209</v>
      </c>
      <c r="B398" s="289" t="s">
        <v>1537</v>
      </c>
      <c r="C398" s="289" t="s">
        <v>1543</v>
      </c>
      <c r="D398" s="289" t="s">
        <v>1547</v>
      </c>
      <c r="E398" s="289" t="s">
        <v>1548</v>
      </c>
      <c r="F398" s="289" t="s">
        <v>1549</v>
      </c>
      <c r="I398" s="289" t="str">
        <f>("0214209")</f>
        <v>0214209</v>
      </c>
    </row>
    <row r="399" spans="1:9">
      <c r="A399" s="290">
        <v>214221</v>
      </c>
      <c r="B399" s="289" t="s">
        <v>1537</v>
      </c>
      <c r="C399" s="289" t="s">
        <v>1543</v>
      </c>
      <c r="D399" s="289" t="s">
        <v>1550</v>
      </c>
      <c r="E399" s="289" t="s">
        <v>1551</v>
      </c>
      <c r="F399" s="289" t="s">
        <v>1552</v>
      </c>
      <c r="I399" s="289" t="str">
        <f>("0214221")</f>
        <v>0214221</v>
      </c>
    </row>
    <row r="400" spans="1:9">
      <c r="A400" s="290">
        <v>214232</v>
      </c>
      <c r="B400" s="289" t="s">
        <v>1537</v>
      </c>
      <c r="C400" s="289" t="s">
        <v>1543</v>
      </c>
      <c r="D400" s="289" t="s">
        <v>1553</v>
      </c>
      <c r="E400" s="289" t="s">
        <v>1554</v>
      </c>
      <c r="F400" s="289" t="s">
        <v>1555</v>
      </c>
      <c r="I400" s="289" t="str">
        <f>("0214232")</f>
        <v>0214232</v>
      </c>
    </row>
    <row r="401" spans="1:9">
      <c r="A401" s="290">
        <v>214254</v>
      </c>
      <c r="B401" s="289" t="s">
        <v>1537</v>
      </c>
      <c r="C401" s="289" t="s">
        <v>1543</v>
      </c>
      <c r="D401" s="289" t="s">
        <v>1556</v>
      </c>
      <c r="E401" s="289" t="s">
        <v>1557</v>
      </c>
      <c r="F401" s="289" t="s">
        <v>1558</v>
      </c>
      <c r="I401" s="289" t="str">
        <f>("0214254")</f>
        <v>0214254</v>
      </c>
    </row>
    <row r="402" spans="1:9">
      <c r="A402" s="290">
        <v>214287</v>
      </c>
      <c r="B402" s="289" t="s">
        <v>1537</v>
      </c>
      <c r="C402" s="289" t="s">
        <v>1543</v>
      </c>
      <c r="D402" s="289" t="s">
        <v>1559</v>
      </c>
      <c r="E402" s="289" t="s">
        <v>1560</v>
      </c>
      <c r="F402" s="289" t="s">
        <v>1561</v>
      </c>
      <c r="I402" s="289" t="str">
        <f>("0214287")</f>
        <v>0214287</v>
      </c>
    </row>
    <row r="403" spans="1:9">
      <c r="A403" s="290">
        <v>214298</v>
      </c>
      <c r="B403" s="289" t="s">
        <v>1537</v>
      </c>
      <c r="C403" s="289" t="s">
        <v>1543</v>
      </c>
      <c r="D403" s="289" t="s">
        <v>1562</v>
      </c>
      <c r="E403" s="289" t="s">
        <v>1563</v>
      </c>
      <c r="F403" s="289" t="s">
        <v>1564</v>
      </c>
      <c r="I403" s="289" t="str">
        <f>("0214298")</f>
        <v>0214298</v>
      </c>
    </row>
    <row r="404" spans="1:9">
      <c r="A404" s="290">
        <v>214311</v>
      </c>
      <c r="B404" s="289" t="s">
        <v>1537</v>
      </c>
      <c r="C404" s="289" t="s">
        <v>1543</v>
      </c>
      <c r="D404" s="289" t="s">
        <v>1565</v>
      </c>
      <c r="E404" s="289" t="s">
        <v>1566</v>
      </c>
      <c r="F404" s="289" t="s">
        <v>1567</v>
      </c>
      <c r="I404" s="289" t="str">
        <f>("0214311")</f>
        <v>0214311</v>
      </c>
    </row>
    <row r="405" spans="1:9">
      <c r="A405" s="290">
        <v>214333</v>
      </c>
      <c r="B405" s="289" t="s">
        <v>1537</v>
      </c>
      <c r="C405" s="289" t="s">
        <v>1543</v>
      </c>
      <c r="D405" s="289" t="s">
        <v>1568</v>
      </c>
      <c r="E405" s="289" t="s">
        <v>1569</v>
      </c>
      <c r="F405" s="289" t="s">
        <v>1570</v>
      </c>
      <c r="I405" s="289" t="str">
        <f>("0214333")</f>
        <v>0214333</v>
      </c>
    </row>
    <row r="406" spans="1:9">
      <c r="A406" s="290">
        <v>214344</v>
      </c>
      <c r="B406" s="289" t="s">
        <v>1537</v>
      </c>
      <c r="C406" s="289" t="s">
        <v>1543</v>
      </c>
      <c r="D406" s="289" t="s">
        <v>1571</v>
      </c>
      <c r="E406" s="289" t="s">
        <v>1572</v>
      </c>
      <c r="F406" s="289" t="s">
        <v>1573</v>
      </c>
      <c r="I406" s="289" t="str">
        <f>("0214344")</f>
        <v>0214344</v>
      </c>
    </row>
    <row r="407" spans="1:9">
      <c r="A407" s="290">
        <v>214377</v>
      </c>
      <c r="B407" s="289" t="s">
        <v>1537</v>
      </c>
      <c r="C407" s="289" t="s">
        <v>1574</v>
      </c>
      <c r="D407" s="289" t="s">
        <v>1575</v>
      </c>
      <c r="E407" s="289" t="s">
        <v>1576</v>
      </c>
      <c r="F407" s="289" t="s">
        <v>1577</v>
      </c>
      <c r="I407" s="289" t="str">
        <f>("0214377")</f>
        <v>0214377</v>
      </c>
    </row>
    <row r="408" spans="1:9">
      <c r="A408" s="290">
        <v>214388</v>
      </c>
      <c r="B408" s="289" t="s">
        <v>667</v>
      </c>
      <c r="C408" s="289" t="s">
        <v>668</v>
      </c>
      <c r="D408" s="289" t="s">
        <v>1578</v>
      </c>
      <c r="E408" s="289" t="s">
        <v>1579</v>
      </c>
      <c r="F408" s="289" t="s">
        <v>1580</v>
      </c>
      <c r="I408" s="289" t="str">
        <f>("0214388")</f>
        <v>0214388</v>
      </c>
    </row>
    <row r="409" spans="1:9">
      <c r="A409" s="290">
        <v>214412</v>
      </c>
      <c r="B409" s="289" t="s">
        <v>667</v>
      </c>
      <c r="C409" s="289" t="s">
        <v>668</v>
      </c>
      <c r="D409" s="289" t="s">
        <v>1581</v>
      </c>
      <c r="E409" s="289" t="s">
        <v>1582</v>
      </c>
      <c r="F409" s="289" t="s">
        <v>1583</v>
      </c>
      <c r="I409" s="289" t="str">
        <f>("0214412")</f>
        <v>0214412</v>
      </c>
    </row>
    <row r="410" spans="1:9">
      <c r="A410" s="290">
        <v>214423</v>
      </c>
      <c r="B410" s="289" t="s">
        <v>667</v>
      </c>
      <c r="C410" s="289" t="s">
        <v>668</v>
      </c>
      <c r="D410" s="289" t="s">
        <v>1584</v>
      </c>
      <c r="E410" s="289" t="s">
        <v>1585</v>
      </c>
      <c r="F410" s="289" t="s">
        <v>1586</v>
      </c>
      <c r="I410" s="289" t="str">
        <f>("0214423")</f>
        <v>0214423</v>
      </c>
    </row>
    <row r="411" spans="1:9">
      <c r="A411" s="290">
        <v>214434</v>
      </c>
      <c r="B411" s="289" t="s">
        <v>667</v>
      </c>
      <c r="C411" s="289" t="s">
        <v>668</v>
      </c>
      <c r="D411" s="289" t="s">
        <v>1587</v>
      </c>
      <c r="E411" s="289" t="s">
        <v>1588</v>
      </c>
      <c r="F411" s="289" t="s">
        <v>1589</v>
      </c>
      <c r="I411" s="289" t="str">
        <f>("0214434")</f>
        <v>0214434</v>
      </c>
    </row>
    <row r="412" spans="1:9">
      <c r="A412" s="290">
        <v>214502</v>
      </c>
      <c r="B412" s="289" t="s">
        <v>667</v>
      </c>
      <c r="C412" s="289" t="s">
        <v>668</v>
      </c>
      <c r="D412" s="289" t="s">
        <v>1590</v>
      </c>
      <c r="E412" s="289" t="s">
        <v>1591</v>
      </c>
      <c r="F412" s="289" t="s">
        <v>1592</v>
      </c>
      <c r="I412" s="289" t="str">
        <f>("0214502")</f>
        <v>0214502</v>
      </c>
    </row>
    <row r="413" spans="1:9">
      <c r="A413" s="290">
        <v>214513</v>
      </c>
      <c r="B413" s="289" t="s">
        <v>667</v>
      </c>
      <c r="C413" s="289" t="s">
        <v>668</v>
      </c>
      <c r="D413" s="289" t="s">
        <v>1593</v>
      </c>
      <c r="E413" s="289" t="s">
        <v>1594</v>
      </c>
      <c r="F413" s="289" t="s">
        <v>1595</v>
      </c>
      <c r="I413" s="289" t="str">
        <f>("0214513")</f>
        <v>0214513</v>
      </c>
    </row>
    <row r="414" spans="1:9">
      <c r="A414" s="290">
        <v>214535</v>
      </c>
      <c r="B414" s="289" t="s">
        <v>667</v>
      </c>
      <c r="C414" s="289" t="s">
        <v>668</v>
      </c>
      <c r="D414" s="289" t="s">
        <v>1596</v>
      </c>
      <c r="E414" s="289" t="s">
        <v>1597</v>
      </c>
      <c r="F414" s="289" t="s">
        <v>1598</v>
      </c>
      <c r="I414" s="289" t="str">
        <f>("0214535")</f>
        <v>0214535</v>
      </c>
    </row>
    <row r="415" spans="1:9">
      <c r="A415" s="290">
        <v>214546</v>
      </c>
      <c r="B415" s="289" t="s">
        <v>667</v>
      </c>
      <c r="C415" s="289" t="s">
        <v>668</v>
      </c>
      <c r="D415" s="289" t="s">
        <v>1599</v>
      </c>
      <c r="E415" s="289" t="s">
        <v>5247</v>
      </c>
      <c r="F415" s="289" t="s">
        <v>1600</v>
      </c>
      <c r="I415" s="289" t="str">
        <f>("0214546")</f>
        <v>0214546</v>
      </c>
    </row>
    <row r="416" spans="1:9">
      <c r="A416" s="290">
        <v>214557</v>
      </c>
      <c r="B416" s="289" t="s">
        <v>667</v>
      </c>
      <c r="C416" s="289" t="s">
        <v>668</v>
      </c>
      <c r="D416" s="289" t="s">
        <v>1601</v>
      </c>
      <c r="E416" s="289" t="s">
        <v>1602</v>
      </c>
      <c r="F416" s="289" t="s">
        <v>1603</v>
      </c>
      <c r="I416" s="289" t="str">
        <f>("0214557")</f>
        <v>0214557</v>
      </c>
    </row>
    <row r="417" spans="1:9">
      <c r="A417" s="290">
        <v>214568</v>
      </c>
      <c r="B417" s="289" t="s">
        <v>667</v>
      </c>
      <c r="C417" s="289" t="s">
        <v>668</v>
      </c>
      <c r="D417" s="289" t="s">
        <v>1604</v>
      </c>
      <c r="E417" s="289" t="s">
        <v>1605</v>
      </c>
      <c r="F417" s="289" t="s">
        <v>1606</v>
      </c>
      <c r="I417" s="289" t="str">
        <f>("0214568")</f>
        <v>0214568</v>
      </c>
    </row>
    <row r="418" spans="1:9">
      <c r="A418" s="290">
        <v>214579</v>
      </c>
      <c r="B418" s="289" t="s">
        <v>667</v>
      </c>
      <c r="C418" s="289" t="s">
        <v>668</v>
      </c>
      <c r="D418" s="289" t="s">
        <v>1607</v>
      </c>
      <c r="E418" s="289" t="s">
        <v>1608</v>
      </c>
      <c r="F418" s="289" t="s">
        <v>1609</v>
      </c>
      <c r="I418" s="289" t="str">
        <f>("0214579")</f>
        <v>0214579</v>
      </c>
    </row>
    <row r="419" spans="1:9">
      <c r="A419" s="290">
        <v>214603</v>
      </c>
      <c r="B419" s="289" t="s">
        <v>667</v>
      </c>
      <c r="C419" s="289" t="s">
        <v>668</v>
      </c>
      <c r="D419" s="289" t="s">
        <v>1610</v>
      </c>
      <c r="E419" s="289" t="s">
        <v>1611</v>
      </c>
      <c r="F419" s="289" t="s">
        <v>1612</v>
      </c>
      <c r="I419" s="289" t="str">
        <f>("0214603")</f>
        <v>0214603</v>
      </c>
    </row>
    <row r="420" spans="1:9">
      <c r="A420" s="290">
        <v>214614</v>
      </c>
      <c r="B420" s="289" t="s">
        <v>667</v>
      </c>
      <c r="C420" s="289" t="s">
        <v>668</v>
      </c>
      <c r="D420" s="289" t="s">
        <v>1613</v>
      </c>
      <c r="E420" s="289" t="s">
        <v>1614</v>
      </c>
      <c r="F420" s="289" t="s">
        <v>1615</v>
      </c>
      <c r="I420" s="289" t="str">
        <f>("0214614")</f>
        <v>0214614</v>
      </c>
    </row>
    <row r="421" spans="1:9">
      <c r="A421" s="290">
        <v>214636</v>
      </c>
      <c r="B421" s="289" t="s">
        <v>667</v>
      </c>
      <c r="C421" s="289" t="s">
        <v>668</v>
      </c>
      <c r="D421" s="289" t="s">
        <v>1616</v>
      </c>
      <c r="E421" s="289" t="s">
        <v>1617</v>
      </c>
      <c r="F421" s="289" t="s">
        <v>1618</v>
      </c>
      <c r="I421" s="289" t="str">
        <f>("0214636")</f>
        <v>0214636</v>
      </c>
    </row>
    <row r="422" spans="1:9">
      <c r="A422" s="290">
        <v>214647</v>
      </c>
      <c r="B422" s="289" t="s">
        <v>667</v>
      </c>
      <c r="C422" s="289" t="s">
        <v>668</v>
      </c>
      <c r="D422" s="289" t="s">
        <v>1619</v>
      </c>
      <c r="E422" s="289" t="s">
        <v>1620</v>
      </c>
      <c r="F422" s="289" t="s">
        <v>1621</v>
      </c>
      <c r="I422" s="289" t="str">
        <f>("0214647")</f>
        <v>0214647</v>
      </c>
    </row>
    <row r="423" spans="1:9">
      <c r="A423" s="290">
        <v>214658</v>
      </c>
      <c r="B423" s="289" t="s">
        <v>667</v>
      </c>
      <c r="C423" s="289" t="s">
        <v>668</v>
      </c>
      <c r="D423" s="289" t="s">
        <v>1622</v>
      </c>
      <c r="E423" s="289" t="s">
        <v>1623</v>
      </c>
      <c r="F423" s="289" t="s">
        <v>1624</v>
      </c>
      <c r="I423" s="289" t="str">
        <f>("0214658")</f>
        <v>0214658</v>
      </c>
    </row>
    <row r="424" spans="1:9">
      <c r="A424" s="290">
        <v>214669</v>
      </c>
      <c r="B424" s="289" t="s">
        <v>667</v>
      </c>
      <c r="C424" s="289" t="s">
        <v>668</v>
      </c>
      <c r="D424" s="289" t="s">
        <v>1625</v>
      </c>
      <c r="E424" s="289" t="s">
        <v>1626</v>
      </c>
      <c r="F424" s="289" t="s">
        <v>1627</v>
      </c>
      <c r="I424" s="289" t="str">
        <f>("0214669")</f>
        <v>0214669</v>
      </c>
    </row>
    <row r="425" spans="1:9">
      <c r="A425" s="290">
        <v>214681</v>
      </c>
      <c r="B425" s="289" t="s">
        <v>667</v>
      </c>
      <c r="C425" s="289" t="s">
        <v>668</v>
      </c>
      <c r="D425" s="289" t="s">
        <v>1628</v>
      </c>
      <c r="E425" s="289" t="s">
        <v>1629</v>
      </c>
      <c r="F425" s="289" t="s">
        <v>1630</v>
      </c>
      <c r="I425" s="289" t="str">
        <f>("0214681")</f>
        <v>0214681</v>
      </c>
    </row>
    <row r="426" spans="1:9">
      <c r="A426" s="290">
        <v>214692</v>
      </c>
      <c r="B426" s="289" t="s">
        <v>667</v>
      </c>
      <c r="C426" s="289" t="s">
        <v>668</v>
      </c>
      <c r="D426" s="289" t="s">
        <v>1631</v>
      </c>
      <c r="E426" s="289" t="s">
        <v>1632</v>
      </c>
      <c r="F426" s="289" t="s">
        <v>1633</v>
      </c>
      <c r="I426" s="289" t="str">
        <f>("0214692")</f>
        <v>0214692</v>
      </c>
    </row>
    <row r="427" spans="1:9">
      <c r="A427" s="290">
        <v>214715</v>
      </c>
      <c r="B427" s="289" t="s">
        <v>667</v>
      </c>
      <c r="C427" s="289" t="s">
        <v>668</v>
      </c>
      <c r="D427" s="289" t="s">
        <v>1634</v>
      </c>
      <c r="E427" s="289" t="s">
        <v>1635</v>
      </c>
      <c r="F427" s="289" t="s">
        <v>4689</v>
      </c>
      <c r="I427" s="289" t="str">
        <f>("0214715")</f>
        <v>0214715</v>
      </c>
    </row>
    <row r="428" spans="1:9">
      <c r="A428" s="290">
        <v>214726</v>
      </c>
      <c r="B428" s="289" t="s">
        <v>667</v>
      </c>
      <c r="C428" s="289" t="s">
        <v>668</v>
      </c>
      <c r="D428" s="289" t="s">
        <v>1636</v>
      </c>
      <c r="E428" s="289" t="s">
        <v>1637</v>
      </c>
      <c r="F428" s="289" t="s">
        <v>1638</v>
      </c>
      <c r="I428" s="289" t="str">
        <f>("0214726")</f>
        <v>0214726</v>
      </c>
    </row>
    <row r="429" spans="1:9">
      <c r="A429" s="290">
        <v>214737</v>
      </c>
      <c r="B429" s="289" t="s">
        <v>667</v>
      </c>
      <c r="C429" s="289" t="s">
        <v>668</v>
      </c>
      <c r="D429" s="289" t="s">
        <v>1639</v>
      </c>
      <c r="E429" s="289" t="s">
        <v>1640</v>
      </c>
      <c r="F429" s="289" t="s">
        <v>1641</v>
      </c>
      <c r="I429" s="289" t="str">
        <f>("0214737")</f>
        <v>0214737</v>
      </c>
    </row>
    <row r="430" spans="1:9">
      <c r="A430" s="290">
        <v>214759</v>
      </c>
      <c r="B430" s="289" t="s">
        <v>667</v>
      </c>
      <c r="C430" s="289" t="s">
        <v>668</v>
      </c>
      <c r="D430" s="289" t="s">
        <v>1642</v>
      </c>
      <c r="E430" s="289" t="s">
        <v>1643</v>
      </c>
      <c r="F430" s="289" t="s">
        <v>1644</v>
      </c>
      <c r="I430" s="289" t="str">
        <f>("0214759")</f>
        <v>0214759</v>
      </c>
    </row>
    <row r="431" spans="1:9">
      <c r="A431" s="290">
        <v>214760</v>
      </c>
      <c r="B431" s="289" t="s">
        <v>667</v>
      </c>
      <c r="C431" s="289" t="s">
        <v>668</v>
      </c>
      <c r="D431" s="289" t="s">
        <v>1645</v>
      </c>
      <c r="E431" s="289" t="s">
        <v>1646</v>
      </c>
      <c r="F431" s="289" t="s">
        <v>1647</v>
      </c>
      <c r="I431" s="289" t="str">
        <f>("0214760")</f>
        <v>0214760</v>
      </c>
    </row>
    <row r="432" spans="1:9">
      <c r="A432" s="290">
        <v>214771</v>
      </c>
      <c r="B432" s="289" t="s">
        <v>667</v>
      </c>
      <c r="C432" s="289" t="s">
        <v>668</v>
      </c>
      <c r="D432" s="289" t="s">
        <v>1648</v>
      </c>
      <c r="E432" s="289" t="s">
        <v>1649</v>
      </c>
      <c r="F432" s="289" t="s">
        <v>1650</v>
      </c>
      <c r="I432" s="289" t="str">
        <f>("0214771")</f>
        <v>0214771</v>
      </c>
    </row>
    <row r="433" spans="1:9">
      <c r="A433" s="290">
        <v>214782</v>
      </c>
      <c r="B433" s="289" t="s">
        <v>667</v>
      </c>
      <c r="C433" s="289" t="s">
        <v>668</v>
      </c>
      <c r="D433" s="289" t="s">
        <v>1651</v>
      </c>
      <c r="E433" s="289" t="s">
        <v>1652</v>
      </c>
      <c r="F433" s="289" t="s">
        <v>1653</v>
      </c>
      <c r="I433" s="289" t="str">
        <f>("0214782")</f>
        <v>0214782</v>
      </c>
    </row>
    <row r="434" spans="1:9">
      <c r="A434" s="290">
        <v>214793</v>
      </c>
      <c r="B434" s="289" t="s">
        <v>667</v>
      </c>
      <c r="C434" s="289" t="s">
        <v>668</v>
      </c>
      <c r="D434" s="289" t="s">
        <v>1654</v>
      </c>
      <c r="E434" s="289" t="s">
        <v>1655</v>
      </c>
      <c r="F434" s="289" t="s">
        <v>1656</v>
      </c>
      <c r="I434" s="289" t="str">
        <f>("0214793")</f>
        <v>0214793</v>
      </c>
    </row>
    <row r="435" spans="1:9">
      <c r="A435" s="290">
        <v>214827</v>
      </c>
      <c r="B435" s="289" t="s">
        <v>667</v>
      </c>
      <c r="C435" s="289" t="s">
        <v>668</v>
      </c>
      <c r="D435" s="289" t="s">
        <v>1657</v>
      </c>
      <c r="E435" s="289" t="s">
        <v>1658</v>
      </c>
      <c r="F435" s="289" t="s">
        <v>1659</v>
      </c>
      <c r="I435" s="289" t="str">
        <f>("0214827")</f>
        <v>0214827</v>
      </c>
    </row>
    <row r="436" spans="1:9">
      <c r="A436" s="290">
        <v>214838</v>
      </c>
      <c r="B436" s="289" t="s">
        <v>667</v>
      </c>
      <c r="C436" s="289" t="s">
        <v>668</v>
      </c>
      <c r="D436" s="289" t="s">
        <v>1660</v>
      </c>
      <c r="E436" s="289" t="s">
        <v>1661</v>
      </c>
      <c r="F436" s="289" t="s">
        <v>1662</v>
      </c>
      <c r="I436" s="289" t="str">
        <f>("0214838")</f>
        <v>0214838</v>
      </c>
    </row>
    <row r="437" spans="1:9">
      <c r="A437" s="290">
        <v>214850</v>
      </c>
      <c r="B437" s="289" t="s">
        <v>667</v>
      </c>
      <c r="C437" s="289" t="s">
        <v>668</v>
      </c>
      <c r="D437" s="289" t="s">
        <v>1663</v>
      </c>
      <c r="E437" s="289" t="s">
        <v>1664</v>
      </c>
      <c r="F437" s="289" t="s">
        <v>1665</v>
      </c>
      <c r="I437" s="289" t="str">
        <f>("0214850")</f>
        <v>0214850</v>
      </c>
    </row>
    <row r="438" spans="1:9">
      <c r="A438" s="290">
        <v>214861</v>
      </c>
      <c r="B438" s="289" t="s">
        <v>667</v>
      </c>
      <c r="C438" s="289" t="s">
        <v>668</v>
      </c>
      <c r="D438" s="289" t="s">
        <v>1666</v>
      </c>
      <c r="E438" s="289" t="s">
        <v>1667</v>
      </c>
      <c r="F438" s="289" t="s">
        <v>4690</v>
      </c>
      <c r="I438" s="289" t="str">
        <f>("0214861")</f>
        <v>0214861</v>
      </c>
    </row>
    <row r="439" spans="1:9">
      <c r="A439" s="290">
        <v>214872</v>
      </c>
      <c r="B439" s="289" t="s">
        <v>667</v>
      </c>
      <c r="C439" s="289" t="s">
        <v>668</v>
      </c>
      <c r="D439" s="289" t="s">
        <v>1668</v>
      </c>
      <c r="E439" s="289" t="s">
        <v>1669</v>
      </c>
      <c r="F439" s="289" t="s">
        <v>1670</v>
      </c>
      <c r="I439" s="289" t="str">
        <f>("0214872")</f>
        <v>0214872</v>
      </c>
    </row>
    <row r="440" spans="1:9">
      <c r="A440" s="290">
        <v>214883</v>
      </c>
      <c r="B440" s="289" t="s">
        <v>667</v>
      </c>
      <c r="C440" s="289" t="s">
        <v>668</v>
      </c>
      <c r="D440" s="289" t="s">
        <v>1671</v>
      </c>
      <c r="E440" s="289" t="s">
        <v>1672</v>
      </c>
      <c r="F440" s="289" t="s">
        <v>1673</v>
      </c>
      <c r="I440" s="289" t="str">
        <f>("0214883")</f>
        <v>0214883</v>
      </c>
    </row>
    <row r="441" spans="1:9">
      <c r="A441" s="290">
        <v>214894</v>
      </c>
      <c r="B441" s="289" t="s">
        <v>667</v>
      </c>
      <c r="C441" s="289" t="s">
        <v>668</v>
      </c>
      <c r="D441" s="289" t="s">
        <v>1674</v>
      </c>
      <c r="E441" s="289" t="s">
        <v>1674</v>
      </c>
      <c r="F441" s="289" t="s">
        <v>1675</v>
      </c>
      <c r="I441" s="289" t="str">
        <f>("0214894")</f>
        <v>0214894</v>
      </c>
    </row>
    <row r="442" spans="1:9">
      <c r="A442" s="290">
        <v>214928</v>
      </c>
      <c r="B442" s="289" t="s">
        <v>667</v>
      </c>
      <c r="C442" s="289" t="s">
        <v>668</v>
      </c>
      <c r="D442" s="289" t="s">
        <v>1676</v>
      </c>
      <c r="E442" s="289" t="s">
        <v>1677</v>
      </c>
      <c r="F442" s="289" t="s">
        <v>1678</v>
      </c>
      <c r="I442" s="289" t="str">
        <f>("0214928")</f>
        <v>0214928</v>
      </c>
    </row>
    <row r="443" spans="1:9">
      <c r="A443" s="290">
        <v>214940</v>
      </c>
      <c r="B443" s="289" t="s">
        <v>667</v>
      </c>
      <c r="C443" s="289" t="s">
        <v>668</v>
      </c>
      <c r="D443" s="289" t="s">
        <v>1679</v>
      </c>
      <c r="E443" s="289" t="s">
        <v>1680</v>
      </c>
      <c r="F443" s="289" t="s">
        <v>1681</v>
      </c>
      <c r="I443" s="289" t="str">
        <f>("0214940")</f>
        <v>0214940</v>
      </c>
    </row>
    <row r="444" spans="1:9">
      <c r="A444" s="290">
        <v>214951</v>
      </c>
      <c r="B444" s="289" t="s">
        <v>667</v>
      </c>
      <c r="C444" s="289" t="s">
        <v>668</v>
      </c>
      <c r="D444" s="289" t="s">
        <v>1682</v>
      </c>
      <c r="E444" s="289" t="s">
        <v>1683</v>
      </c>
      <c r="F444" s="289" t="s">
        <v>1684</v>
      </c>
      <c r="I444" s="289" t="str">
        <f>("0214951")</f>
        <v>0214951</v>
      </c>
    </row>
    <row r="445" spans="1:9">
      <c r="A445" s="290">
        <v>214962</v>
      </c>
      <c r="B445" s="289" t="s">
        <v>667</v>
      </c>
      <c r="C445" s="289" t="s">
        <v>668</v>
      </c>
      <c r="D445" s="289" t="s">
        <v>1685</v>
      </c>
      <c r="E445" s="289" t="s">
        <v>1686</v>
      </c>
      <c r="F445" s="289" t="s">
        <v>1687</v>
      </c>
      <c r="I445" s="289" t="str">
        <f>("0214962")</f>
        <v>0214962</v>
      </c>
    </row>
    <row r="446" spans="1:9">
      <c r="A446" s="290">
        <v>214984</v>
      </c>
      <c r="B446" s="289" t="s">
        <v>667</v>
      </c>
      <c r="C446" s="289" t="s">
        <v>668</v>
      </c>
      <c r="D446" s="289" t="s">
        <v>1688</v>
      </c>
      <c r="E446" s="289" t="s">
        <v>1689</v>
      </c>
      <c r="F446" s="289" t="s">
        <v>1690</v>
      </c>
      <c r="I446" s="289" t="str">
        <f>("0214984")</f>
        <v>0214984</v>
      </c>
    </row>
    <row r="447" spans="1:9">
      <c r="A447" s="290">
        <v>215019</v>
      </c>
      <c r="B447" s="289" t="s">
        <v>667</v>
      </c>
      <c r="C447" s="289" t="s">
        <v>668</v>
      </c>
      <c r="D447" s="289" t="s">
        <v>1691</v>
      </c>
      <c r="E447" s="289" t="s">
        <v>1692</v>
      </c>
      <c r="F447" s="289" t="s">
        <v>1693</v>
      </c>
      <c r="I447" s="289" t="str">
        <f>("0215019")</f>
        <v>0215019</v>
      </c>
    </row>
    <row r="448" spans="1:9">
      <c r="A448" s="290">
        <v>215020</v>
      </c>
      <c r="B448" s="289" t="s">
        <v>667</v>
      </c>
      <c r="C448" s="289" t="s">
        <v>668</v>
      </c>
      <c r="D448" s="289" t="s">
        <v>1694</v>
      </c>
      <c r="E448" s="289" t="s">
        <v>1695</v>
      </c>
      <c r="F448" s="289" t="s">
        <v>1696</v>
      </c>
      <c r="I448" s="289" t="str">
        <f>("0215020")</f>
        <v>0215020</v>
      </c>
    </row>
    <row r="449" spans="1:9">
      <c r="A449" s="290">
        <v>215031</v>
      </c>
      <c r="B449" s="289" t="s">
        <v>667</v>
      </c>
      <c r="C449" s="289" t="s">
        <v>668</v>
      </c>
      <c r="D449" s="289" t="s">
        <v>1697</v>
      </c>
      <c r="E449" s="289" t="s">
        <v>1698</v>
      </c>
      <c r="F449" s="289" t="s">
        <v>1699</v>
      </c>
      <c r="I449" s="289" t="str">
        <f>("0215031")</f>
        <v>0215031</v>
      </c>
    </row>
    <row r="450" spans="1:9">
      <c r="A450" s="290">
        <v>215064</v>
      </c>
      <c r="B450" s="289" t="s">
        <v>667</v>
      </c>
      <c r="C450" s="289" t="s">
        <v>668</v>
      </c>
      <c r="D450" s="289" t="s">
        <v>4893</v>
      </c>
      <c r="E450" s="289" t="s">
        <v>4894</v>
      </c>
      <c r="F450" s="289" t="s">
        <v>4895</v>
      </c>
      <c r="I450" s="289" t="str">
        <f>("0215064")</f>
        <v>0215064</v>
      </c>
    </row>
    <row r="451" spans="1:9">
      <c r="A451" s="290">
        <v>215075</v>
      </c>
      <c r="B451" s="289" t="s">
        <v>667</v>
      </c>
      <c r="C451" s="289" t="s">
        <v>668</v>
      </c>
      <c r="D451" s="289" t="s">
        <v>5248</v>
      </c>
      <c r="E451" s="289" t="s">
        <v>5249</v>
      </c>
      <c r="F451" s="289" t="s">
        <v>5250</v>
      </c>
      <c r="I451" s="289" t="str">
        <f>("0215075")</f>
        <v>0215075</v>
      </c>
    </row>
    <row r="452" spans="1:9">
      <c r="A452" s="290">
        <v>215110</v>
      </c>
      <c r="B452" s="289" t="s">
        <v>667</v>
      </c>
      <c r="C452" s="289" t="s">
        <v>668</v>
      </c>
      <c r="D452" s="289" t="s">
        <v>1700</v>
      </c>
      <c r="E452" s="289" t="s">
        <v>1701</v>
      </c>
      <c r="F452" s="289" t="s">
        <v>1702</v>
      </c>
      <c r="I452" s="289" t="str">
        <f>("0215110")</f>
        <v>0215110</v>
      </c>
    </row>
    <row r="453" spans="1:9">
      <c r="A453" s="290">
        <v>215121</v>
      </c>
      <c r="B453" s="289" t="s">
        <v>667</v>
      </c>
      <c r="C453" s="289" t="s">
        <v>668</v>
      </c>
      <c r="D453" s="289" t="s">
        <v>1703</v>
      </c>
      <c r="E453" s="289" t="s">
        <v>1704</v>
      </c>
      <c r="F453" s="289" t="s">
        <v>1705</v>
      </c>
      <c r="I453" s="289" t="str">
        <f>("0215121")</f>
        <v>0215121</v>
      </c>
    </row>
    <row r="454" spans="1:9">
      <c r="A454" s="290">
        <v>215154</v>
      </c>
      <c r="B454" s="289" t="s">
        <v>667</v>
      </c>
      <c r="C454" s="289" t="s">
        <v>668</v>
      </c>
      <c r="D454" s="289" t="s">
        <v>1706</v>
      </c>
      <c r="E454" s="289" t="s">
        <v>1707</v>
      </c>
      <c r="F454" s="289" t="s">
        <v>1708</v>
      </c>
      <c r="I454" s="289" t="str">
        <f>("0215154")</f>
        <v>0215154</v>
      </c>
    </row>
    <row r="455" spans="1:9">
      <c r="A455" s="290">
        <v>215198</v>
      </c>
      <c r="B455" s="289" t="s">
        <v>667</v>
      </c>
      <c r="C455" s="289" t="s">
        <v>668</v>
      </c>
      <c r="D455" s="289" t="s">
        <v>1709</v>
      </c>
      <c r="E455" s="289" t="s">
        <v>1710</v>
      </c>
      <c r="F455" s="289" t="s">
        <v>1711</v>
      </c>
      <c r="I455" s="289" t="str">
        <f>("0215198")</f>
        <v>0215198</v>
      </c>
    </row>
    <row r="456" spans="1:9">
      <c r="A456" s="290">
        <v>215200</v>
      </c>
      <c r="B456" s="289" t="s">
        <v>667</v>
      </c>
      <c r="C456" s="289" t="s">
        <v>668</v>
      </c>
      <c r="D456" s="289" t="s">
        <v>1712</v>
      </c>
      <c r="E456" s="289" t="s">
        <v>1713</v>
      </c>
      <c r="F456" s="289" t="s">
        <v>1714</v>
      </c>
      <c r="I456" s="289" t="str">
        <f>("0215200")</f>
        <v>0215200</v>
      </c>
    </row>
    <row r="457" spans="1:9">
      <c r="A457" s="290">
        <v>215211</v>
      </c>
      <c r="B457" s="289" t="s">
        <v>667</v>
      </c>
      <c r="C457" s="289" t="s">
        <v>668</v>
      </c>
      <c r="D457" s="289" t="s">
        <v>5251</v>
      </c>
      <c r="E457" s="289" t="s">
        <v>5252</v>
      </c>
      <c r="F457" s="289" t="s">
        <v>5253</v>
      </c>
      <c r="I457" s="289" t="str">
        <f>("0215211")</f>
        <v>0215211</v>
      </c>
    </row>
    <row r="458" spans="1:9">
      <c r="A458" s="290">
        <v>215233</v>
      </c>
      <c r="B458" s="289" t="s">
        <v>667</v>
      </c>
      <c r="C458" s="289" t="s">
        <v>668</v>
      </c>
      <c r="D458" s="289" t="s">
        <v>1715</v>
      </c>
      <c r="E458" s="289" t="s">
        <v>1716</v>
      </c>
      <c r="F458" s="289" t="s">
        <v>1717</v>
      </c>
      <c r="I458" s="289" t="str">
        <f>("0215233")</f>
        <v>0215233</v>
      </c>
    </row>
    <row r="459" spans="1:9">
      <c r="A459" s="290">
        <v>215255</v>
      </c>
      <c r="B459" s="289" t="s">
        <v>667</v>
      </c>
      <c r="C459" s="289" t="s">
        <v>668</v>
      </c>
      <c r="D459" s="289" t="s">
        <v>1718</v>
      </c>
      <c r="E459" s="289" t="s">
        <v>1719</v>
      </c>
      <c r="F459" s="289" t="s">
        <v>1720</v>
      </c>
      <c r="I459" s="289" t="str">
        <f>("0215255")</f>
        <v>0215255</v>
      </c>
    </row>
    <row r="460" spans="1:9">
      <c r="A460" s="290">
        <v>215266</v>
      </c>
      <c r="B460" s="289" t="s">
        <v>667</v>
      </c>
      <c r="C460" s="289" t="s">
        <v>668</v>
      </c>
      <c r="D460" s="289" t="s">
        <v>1721</v>
      </c>
      <c r="E460" s="289" t="s">
        <v>1722</v>
      </c>
      <c r="F460" s="289" t="s">
        <v>1723</v>
      </c>
      <c r="I460" s="289" t="str">
        <f>("0215266")</f>
        <v>0215266</v>
      </c>
    </row>
    <row r="461" spans="1:9">
      <c r="A461" s="290">
        <v>215277</v>
      </c>
      <c r="B461" s="289" t="s">
        <v>667</v>
      </c>
      <c r="C461" s="289" t="s">
        <v>668</v>
      </c>
      <c r="D461" s="289" t="s">
        <v>1724</v>
      </c>
      <c r="E461" s="289" t="s">
        <v>1725</v>
      </c>
      <c r="F461" s="289" t="s">
        <v>1726</v>
      </c>
      <c r="I461" s="289" t="str">
        <f>("0215277")</f>
        <v>0215277</v>
      </c>
    </row>
    <row r="462" spans="1:9">
      <c r="A462" s="290">
        <v>215323</v>
      </c>
      <c r="B462" s="289" t="s">
        <v>667</v>
      </c>
      <c r="C462" s="289" t="s">
        <v>668</v>
      </c>
      <c r="D462" s="289" t="s">
        <v>1727</v>
      </c>
      <c r="E462" s="289" t="s">
        <v>1728</v>
      </c>
      <c r="F462" s="289" t="s">
        <v>1729</v>
      </c>
      <c r="I462" s="289" t="str">
        <f>("0215323")</f>
        <v>0215323</v>
      </c>
    </row>
    <row r="463" spans="1:9">
      <c r="A463" s="290">
        <v>215390</v>
      </c>
      <c r="B463" s="289" t="s">
        <v>667</v>
      </c>
      <c r="C463" s="289" t="s">
        <v>668</v>
      </c>
      <c r="D463" s="289" t="s">
        <v>1730</v>
      </c>
      <c r="E463" s="289" t="s">
        <v>1731</v>
      </c>
      <c r="F463" s="289" t="s">
        <v>1732</v>
      </c>
      <c r="I463" s="289" t="str">
        <f>("0215390")</f>
        <v>0215390</v>
      </c>
    </row>
    <row r="464" spans="1:9">
      <c r="A464" s="290">
        <v>215402</v>
      </c>
      <c r="B464" s="289" t="s">
        <v>667</v>
      </c>
      <c r="C464" s="289" t="s">
        <v>668</v>
      </c>
      <c r="D464" s="289" t="s">
        <v>1733</v>
      </c>
      <c r="E464" s="289" t="s">
        <v>1734</v>
      </c>
      <c r="F464" s="289" t="s">
        <v>1735</v>
      </c>
      <c r="I464" s="289" t="str">
        <f>("0215402")</f>
        <v>0215402</v>
      </c>
    </row>
    <row r="465" spans="1:9">
      <c r="A465" s="290">
        <v>215413</v>
      </c>
      <c r="B465" s="289" t="s">
        <v>667</v>
      </c>
      <c r="C465" s="289" t="s">
        <v>668</v>
      </c>
      <c r="D465" s="289" t="s">
        <v>4896</v>
      </c>
      <c r="E465" s="289" t="s">
        <v>4897</v>
      </c>
      <c r="F465" s="289" t="s">
        <v>4898</v>
      </c>
      <c r="I465" s="289" t="str">
        <f>("0215413")</f>
        <v>0215413</v>
      </c>
    </row>
    <row r="466" spans="1:9">
      <c r="A466" s="290">
        <v>215424</v>
      </c>
      <c r="B466" s="289" t="s">
        <v>667</v>
      </c>
      <c r="C466" s="289" t="s">
        <v>668</v>
      </c>
      <c r="D466" s="289" t="s">
        <v>1736</v>
      </c>
      <c r="E466" s="289" t="s">
        <v>1737</v>
      </c>
      <c r="F466" s="289" t="s">
        <v>1738</v>
      </c>
      <c r="I466" s="289" t="str">
        <f>("0215424")</f>
        <v>0215424</v>
      </c>
    </row>
    <row r="467" spans="1:9">
      <c r="A467" s="290">
        <v>215435</v>
      </c>
      <c r="B467" s="289" t="s">
        <v>667</v>
      </c>
      <c r="C467" s="289" t="s">
        <v>668</v>
      </c>
      <c r="D467" s="289" t="s">
        <v>1739</v>
      </c>
      <c r="E467" s="289" t="s">
        <v>1740</v>
      </c>
      <c r="F467" s="289" t="s">
        <v>1741</v>
      </c>
      <c r="I467" s="289" t="str">
        <f>("0215435")</f>
        <v>0215435</v>
      </c>
    </row>
    <row r="468" spans="1:9">
      <c r="A468" s="290">
        <v>215446</v>
      </c>
      <c r="B468" s="289" t="s">
        <v>667</v>
      </c>
      <c r="C468" s="289" t="s">
        <v>668</v>
      </c>
      <c r="D468" s="289" t="s">
        <v>4899</v>
      </c>
      <c r="E468" s="289" t="s">
        <v>4900</v>
      </c>
      <c r="F468" s="289" t="s">
        <v>4901</v>
      </c>
      <c r="I468" s="289" t="str">
        <f>("0215446")</f>
        <v>0215446</v>
      </c>
    </row>
    <row r="469" spans="1:9">
      <c r="A469" s="290">
        <v>215457</v>
      </c>
      <c r="B469" s="289" t="s">
        <v>667</v>
      </c>
      <c r="C469" s="289" t="s">
        <v>668</v>
      </c>
      <c r="D469" s="289" t="s">
        <v>1742</v>
      </c>
      <c r="E469" s="289" t="s">
        <v>1743</v>
      </c>
      <c r="F469" s="289" t="s">
        <v>1744</v>
      </c>
      <c r="I469" s="289" t="str">
        <f>("0215457")</f>
        <v>0215457</v>
      </c>
    </row>
    <row r="470" spans="1:9">
      <c r="A470" s="290">
        <v>215468</v>
      </c>
      <c r="B470" s="289" t="s">
        <v>667</v>
      </c>
      <c r="C470" s="289" t="s">
        <v>668</v>
      </c>
      <c r="D470" s="289" t="s">
        <v>1745</v>
      </c>
      <c r="E470" s="289" t="s">
        <v>1746</v>
      </c>
      <c r="F470" s="289" t="s">
        <v>1747</v>
      </c>
      <c r="I470" s="289" t="str">
        <f>("0215468")</f>
        <v>0215468</v>
      </c>
    </row>
    <row r="471" spans="1:9">
      <c r="A471" s="290">
        <v>215479</v>
      </c>
      <c r="B471" s="289" t="s">
        <v>667</v>
      </c>
      <c r="C471" s="289" t="s">
        <v>668</v>
      </c>
      <c r="D471" s="289" t="s">
        <v>1748</v>
      </c>
      <c r="E471" s="289" t="s">
        <v>1749</v>
      </c>
      <c r="F471" s="289" t="s">
        <v>1750</v>
      </c>
      <c r="I471" s="289" t="str">
        <f>("0215479")</f>
        <v>0215479</v>
      </c>
    </row>
    <row r="472" spans="1:9">
      <c r="A472" s="290">
        <v>215480</v>
      </c>
      <c r="B472" s="289" t="s">
        <v>667</v>
      </c>
      <c r="C472" s="289" t="s">
        <v>668</v>
      </c>
      <c r="D472" s="289" t="s">
        <v>1751</v>
      </c>
      <c r="E472" s="289" t="s">
        <v>1752</v>
      </c>
      <c r="F472" s="289" t="s">
        <v>1753</v>
      </c>
      <c r="I472" s="289" t="str">
        <f>("0215480")</f>
        <v>0215480</v>
      </c>
    </row>
    <row r="473" spans="1:9">
      <c r="A473" s="290">
        <v>215491</v>
      </c>
      <c r="B473" s="289" t="s">
        <v>667</v>
      </c>
      <c r="C473" s="289" t="s">
        <v>668</v>
      </c>
      <c r="D473" s="289" t="s">
        <v>1754</v>
      </c>
      <c r="E473" s="289" t="s">
        <v>1755</v>
      </c>
      <c r="F473" s="289" t="s">
        <v>1756</v>
      </c>
      <c r="I473" s="289" t="str">
        <f>("0215491")</f>
        <v>0215491</v>
      </c>
    </row>
    <row r="474" spans="1:9">
      <c r="A474" s="290">
        <v>215503</v>
      </c>
      <c r="B474" s="289" t="s">
        <v>667</v>
      </c>
      <c r="C474" s="289" t="s">
        <v>668</v>
      </c>
      <c r="D474" s="289" t="s">
        <v>1757</v>
      </c>
      <c r="E474" s="289" t="s">
        <v>1758</v>
      </c>
      <c r="F474" s="289" t="s">
        <v>1759</v>
      </c>
      <c r="I474" s="289" t="str">
        <f>("0215503")</f>
        <v>0215503</v>
      </c>
    </row>
    <row r="475" spans="1:9">
      <c r="A475" s="290">
        <v>215514</v>
      </c>
      <c r="B475" s="289" t="s">
        <v>667</v>
      </c>
      <c r="C475" s="289" t="s">
        <v>668</v>
      </c>
      <c r="D475" s="289" t="s">
        <v>1760</v>
      </c>
      <c r="E475" s="289" t="s">
        <v>1761</v>
      </c>
      <c r="F475" s="289" t="s">
        <v>1762</v>
      </c>
      <c r="I475" s="289" t="str">
        <f>("0215514")</f>
        <v>0215514</v>
      </c>
    </row>
    <row r="476" spans="1:9">
      <c r="A476" s="290">
        <v>215536</v>
      </c>
      <c r="B476" s="289" t="s">
        <v>667</v>
      </c>
      <c r="C476" s="289" t="s">
        <v>668</v>
      </c>
      <c r="D476" s="289" t="s">
        <v>1763</v>
      </c>
      <c r="E476" s="289" t="s">
        <v>1764</v>
      </c>
      <c r="F476" s="289" t="s">
        <v>1765</v>
      </c>
      <c r="I476" s="289" t="str">
        <f>("0215536")</f>
        <v>0215536</v>
      </c>
    </row>
    <row r="477" spans="1:9">
      <c r="A477" s="290">
        <v>215547</v>
      </c>
      <c r="B477" s="289" t="s">
        <v>667</v>
      </c>
      <c r="C477" s="289" t="s">
        <v>668</v>
      </c>
      <c r="D477" s="289" t="s">
        <v>1766</v>
      </c>
      <c r="E477" s="289" t="s">
        <v>1767</v>
      </c>
      <c r="F477" s="289" t="s">
        <v>1768</v>
      </c>
      <c r="I477" s="289" t="str">
        <f>("0215547")</f>
        <v>0215547</v>
      </c>
    </row>
    <row r="478" spans="1:9">
      <c r="A478" s="290">
        <v>215569</v>
      </c>
      <c r="B478" s="289" t="s">
        <v>667</v>
      </c>
      <c r="C478" s="289" t="s">
        <v>668</v>
      </c>
      <c r="D478" s="289" t="s">
        <v>1769</v>
      </c>
      <c r="E478" s="289" t="s">
        <v>1770</v>
      </c>
      <c r="F478" s="289" t="s">
        <v>1771</v>
      </c>
      <c r="I478" s="289" t="str">
        <f>("0215569")</f>
        <v>0215569</v>
      </c>
    </row>
    <row r="479" spans="1:9">
      <c r="A479" s="290">
        <v>215626</v>
      </c>
      <c r="B479" s="289" t="s">
        <v>667</v>
      </c>
      <c r="C479" s="289" t="s">
        <v>668</v>
      </c>
      <c r="D479" s="289" t="s">
        <v>1772</v>
      </c>
      <c r="E479" s="289" t="s">
        <v>1773</v>
      </c>
      <c r="F479" s="289" t="s">
        <v>1774</v>
      </c>
      <c r="I479" s="289" t="str">
        <f>("0215626")</f>
        <v>0215626</v>
      </c>
    </row>
    <row r="480" spans="1:9">
      <c r="A480" s="290">
        <v>215648</v>
      </c>
      <c r="B480" s="289" t="s">
        <v>667</v>
      </c>
      <c r="C480" s="289" t="s">
        <v>668</v>
      </c>
      <c r="D480" s="289" t="s">
        <v>4902</v>
      </c>
      <c r="E480" s="289" t="s">
        <v>4903</v>
      </c>
      <c r="F480" s="289" t="s">
        <v>4904</v>
      </c>
      <c r="I480" s="289" t="str">
        <f>("0215648")</f>
        <v>0215648</v>
      </c>
    </row>
    <row r="481" spans="1:9">
      <c r="A481" s="290">
        <v>215693</v>
      </c>
      <c r="B481" s="289" t="s">
        <v>667</v>
      </c>
      <c r="C481" s="289" t="s">
        <v>668</v>
      </c>
      <c r="D481" s="289" t="s">
        <v>1775</v>
      </c>
      <c r="E481" s="289" t="s">
        <v>1776</v>
      </c>
      <c r="F481" s="289" t="s">
        <v>1777</v>
      </c>
      <c r="I481" s="289" t="str">
        <f>("0215693")</f>
        <v>0215693</v>
      </c>
    </row>
    <row r="482" spans="1:9">
      <c r="A482" s="290">
        <v>215738</v>
      </c>
      <c r="B482" s="289" t="s">
        <v>667</v>
      </c>
      <c r="C482" s="289" t="s">
        <v>668</v>
      </c>
      <c r="D482" s="289" t="s">
        <v>1778</v>
      </c>
      <c r="E482" s="289" t="s">
        <v>1779</v>
      </c>
      <c r="F482" s="289" t="s">
        <v>1780</v>
      </c>
      <c r="I482" s="289" t="str">
        <f>("0215738")</f>
        <v>0215738</v>
      </c>
    </row>
    <row r="483" spans="1:9">
      <c r="A483" s="290">
        <v>215749</v>
      </c>
      <c r="B483" s="289" t="s">
        <v>667</v>
      </c>
      <c r="C483" s="289" t="s">
        <v>668</v>
      </c>
      <c r="D483" s="289" t="s">
        <v>1781</v>
      </c>
      <c r="E483" s="289" t="s">
        <v>1782</v>
      </c>
      <c r="F483" s="289" t="s">
        <v>1783</v>
      </c>
      <c r="I483" s="289" t="str">
        <f>("0215749")</f>
        <v>0215749</v>
      </c>
    </row>
    <row r="484" spans="1:9">
      <c r="A484" s="290">
        <v>215750</v>
      </c>
      <c r="B484" s="289" t="s">
        <v>667</v>
      </c>
      <c r="C484" s="289" t="s">
        <v>668</v>
      </c>
      <c r="D484" s="289" t="s">
        <v>1784</v>
      </c>
      <c r="E484" s="289" t="s">
        <v>1785</v>
      </c>
      <c r="F484" s="289" t="s">
        <v>1786</v>
      </c>
      <c r="I484" s="289" t="str">
        <f>("0215750")</f>
        <v>0215750</v>
      </c>
    </row>
    <row r="485" spans="1:9">
      <c r="A485" s="290">
        <v>215761</v>
      </c>
      <c r="B485" s="289" t="s">
        <v>667</v>
      </c>
      <c r="C485" s="289" t="s">
        <v>668</v>
      </c>
      <c r="D485" s="289" t="s">
        <v>1787</v>
      </c>
      <c r="E485" s="289" t="s">
        <v>1788</v>
      </c>
      <c r="F485" s="289" t="s">
        <v>1789</v>
      </c>
      <c r="I485" s="289" t="str">
        <f>("0215761")</f>
        <v>0215761</v>
      </c>
    </row>
    <row r="486" spans="1:9">
      <c r="A486" s="290">
        <v>215783</v>
      </c>
      <c r="B486" s="289" t="s">
        <v>667</v>
      </c>
      <c r="C486" s="289" t="s">
        <v>668</v>
      </c>
      <c r="D486" s="289" t="s">
        <v>1790</v>
      </c>
      <c r="E486" s="289" t="s">
        <v>1791</v>
      </c>
      <c r="F486" s="289" t="s">
        <v>4691</v>
      </c>
      <c r="I486" s="289" t="str">
        <f>("0215783")</f>
        <v>0215783</v>
      </c>
    </row>
    <row r="487" spans="1:9">
      <c r="A487" s="290">
        <v>215794</v>
      </c>
      <c r="B487" s="289" t="s">
        <v>667</v>
      </c>
      <c r="C487" s="289" t="s">
        <v>668</v>
      </c>
      <c r="D487" s="289" t="s">
        <v>1792</v>
      </c>
      <c r="E487" s="289" t="s">
        <v>1793</v>
      </c>
      <c r="F487" s="289" t="s">
        <v>1794</v>
      </c>
      <c r="I487" s="289" t="str">
        <f>("0215794")</f>
        <v>0215794</v>
      </c>
    </row>
    <row r="488" spans="1:9">
      <c r="A488" s="290">
        <v>215839</v>
      </c>
      <c r="B488" s="289" t="s">
        <v>667</v>
      </c>
      <c r="C488" s="289" t="s">
        <v>668</v>
      </c>
      <c r="D488" s="289" t="s">
        <v>1795</v>
      </c>
      <c r="E488" s="289" t="s">
        <v>1796</v>
      </c>
      <c r="F488" s="289" t="s">
        <v>1797</v>
      </c>
      <c r="I488" s="289" t="str">
        <f>("0215839")</f>
        <v>0215839</v>
      </c>
    </row>
    <row r="489" spans="1:9">
      <c r="A489" s="290">
        <v>215840</v>
      </c>
      <c r="B489" s="289" t="s">
        <v>667</v>
      </c>
      <c r="C489" s="289" t="s">
        <v>668</v>
      </c>
      <c r="D489" s="289" t="s">
        <v>1798</v>
      </c>
      <c r="E489" s="289" t="s">
        <v>1799</v>
      </c>
      <c r="F489" s="289" t="s">
        <v>1800</v>
      </c>
      <c r="I489" s="289" t="str">
        <f>("0215840")</f>
        <v>0215840</v>
      </c>
    </row>
    <row r="490" spans="1:9">
      <c r="A490" s="290">
        <v>215851</v>
      </c>
      <c r="B490" s="289" t="s">
        <v>667</v>
      </c>
      <c r="C490" s="289" t="s">
        <v>668</v>
      </c>
      <c r="D490" s="289" t="s">
        <v>4692</v>
      </c>
      <c r="E490" s="289" t="s">
        <v>4693</v>
      </c>
      <c r="F490" s="289" t="s">
        <v>4694</v>
      </c>
      <c r="I490" s="289" t="str">
        <f>("0215851")</f>
        <v>0215851</v>
      </c>
    </row>
    <row r="491" spans="1:9">
      <c r="A491" s="290">
        <v>215862</v>
      </c>
      <c r="B491" s="289" t="s">
        <v>667</v>
      </c>
      <c r="C491" s="289" t="s">
        <v>668</v>
      </c>
      <c r="D491" s="289" t="s">
        <v>1801</v>
      </c>
      <c r="E491" s="289" t="s">
        <v>1802</v>
      </c>
      <c r="F491" s="289" t="s">
        <v>1803</v>
      </c>
      <c r="I491" s="289" t="str">
        <f>("0215862")</f>
        <v>0215862</v>
      </c>
    </row>
    <row r="492" spans="1:9">
      <c r="A492" s="290">
        <v>215895</v>
      </c>
      <c r="B492" s="289" t="s">
        <v>667</v>
      </c>
      <c r="C492" s="289" t="s">
        <v>668</v>
      </c>
      <c r="D492" s="289" t="s">
        <v>1804</v>
      </c>
      <c r="E492" s="289" t="s">
        <v>1805</v>
      </c>
      <c r="F492" s="289" t="s">
        <v>1806</v>
      </c>
      <c r="I492" s="289" t="str">
        <f>("0215895")</f>
        <v>0215895</v>
      </c>
    </row>
    <row r="493" spans="1:9">
      <c r="A493" s="290">
        <v>215907</v>
      </c>
      <c r="B493" s="289" t="s">
        <v>667</v>
      </c>
      <c r="C493" s="289" t="s">
        <v>668</v>
      </c>
      <c r="D493" s="289" t="s">
        <v>1807</v>
      </c>
      <c r="E493" s="289" t="s">
        <v>1808</v>
      </c>
      <c r="F493" s="289" t="s">
        <v>1809</v>
      </c>
      <c r="I493" s="289" t="str">
        <f>("0215907")</f>
        <v>0215907</v>
      </c>
    </row>
    <row r="494" spans="1:9">
      <c r="A494" s="290">
        <v>215930</v>
      </c>
      <c r="B494" s="289" t="s">
        <v>667</v>
      </c>
      <c r="C494" s="289" t="s">
        <v>668</v>
      </c>
      <c r="D494" s="289" t="s">
        <v>1810</v>
      </c>
      <c r="E494" s="289" t="s">
        <v>1811</v>
      </c>
      <c r="F494" s="289" t="s">
        <v>1812</v>
      </c>
      <c r="I494" s="289" t="str">
        <f>("0215930")</f>
        <v>0215930</v>
      </c>
    </row>
    <row r="495" spans="1:9">
      <c r="A495" s="290">
        <v>215963</v>
      </c>
      <c r="B495" s="289" t="s">
        <v>667</v>
      </c>
      <c r="C495" s="289" t="s">
        <v>668</v>
      </c>
      <c r="D495" s="289" t="s">
        <v>1813</v>
      </c>
      <c r="E495" s="289" t="s">
        <v>1814</v>
      </c>
      <c r="F495" s="289" t="s">
        <v>1815</v>
      </c>
      <c r="I495" s="289" t="str">
        <f>("0215963")</f>
        <v>0215963</v>
      </c>
    </row>
    <row r="496" spans="1:9">
      <c r="A496" s="290">
        <v>215974</v>
      </c>
      <c r="B496" s="289" t="s">
        <v>667</v>
      </c>
      <c r="C496" s="289" t="s">
        <v>668</v>
      </c>
      <c r="D496" s="289" t="s">
        <v>1816</v>
      </c>
      <c r="E496" s="289" t="s">
        <v>1817</v>
      </c>
      <c r="F496" s="289" t="s">
        <v>1818</v>
      </c>
      <c r="I496" s="289" t="str">
        <f>("0215974")</f>
        <v>0215974</v>
      </c>
    </row>
    <row r="497" spans="1:9">
      <c r="A497" s="290">
        <v>216009</v>
      </c>
      <c r="B497" s="289" t="s">
        <v>667</v>
      </c>
      <c r="C497" s="289" t="s">
        <v>668</v>
      </c>
      <c r="D497" s="289" t="s">
        <v>1819</v>
      </c>
      <c r="E497" s="289" t="s">
        <v>1820</v>
      </c>
      <c r="F497" s="289" t="s">
        <v>1821</v>
      </c>
      <c r="I497" s="289" t="str">
        <f>("0216009")</f>
        <v>0216009</v>
      </c>
    </row>
    <row r="498" spans="1:9">
      <c r="A498" s="290">
        <v>216010</v>
      </c>
      <c r="B498" s="289" t="s">
        <v>667</v>
      </c>
      <c r="C498" s="289" t="s">
        <v>668</v>
      </c>
      <c r="D498" s="289" t="s">
        <v>5254</v>
      </c>
      <c r="E498" s="289" t="s">
        <v>1822</v>
      </c>
      <c r="F498" s="289" t="s">
        <v>1823</v>
      </c>
      <c r="I498" s="289" t="str">
        <f>("0216010")</f>
        <v>0216010</v>
      </c>
    </row>
    <row r="499" spans="1:9">
      <c r="A499" s="290">
        <v>216021</v>
      </c>
      <c r="B499" s="289" t="s">
        <v>667</v>
      </c>
      <c r="C499" s="289" t="s">
        <v>668</v>
      </c>
      <c r="D499" s="289" t="s">
        <v>1824</v>
      </c>
      <c r="E499" s="289" t="s">
        <v>1825</v>
      </c>
      <c r="F499" s="289" t="s">
        <v>1826</v>
      </c>
      <c r="I499" s="289" t="str">
        <f>("0216021")</f>
        <v>0216021</v>
      </c>
    </row>
    <row r="500" spans="1:9">
      <c r="A500" s="290">
        <v>216043</v>
      </c>
      <c r="B500" s="289" t="s">
        <v>667</v>
      </c>
      <c r="C500" s="289" t="s">
        <v>668</v>
      </c>
      <c r="D500" s="289" t="s">
        <v>1827</v>
      </c>
      <c r="E500" s="289" t="s">
        <v>1828</v>
      </c>
      <c r="F500" s="289" t="s">
        <v>1829</v>
      </c>
      <c r="I500" s="289" t="str">
        <f>("0216043")</f>
        <v>0216043</v>
      </c>
    </row>
    <row r="501" spans="1:9">
      <c r="A501" s="290">
        <v>216054</v>
      </c>
      <c r="B501" s="289" t="s">
        <v>667</v>
      </c>
      <c r="C501" s="289" t="s">
        <v>668</v>
      </c>
      <c r="D501" s="289" t="s">
        <v>1830</v>
      </c>
      <c r="E501" s="289" t="s">
        <v>1831</v>
      </c>
      <c r="F501" s="289" t="s">
        <v>1832</v>
      </c>
      <c r="I501" s="289" t="str">
        <f>("0216054")</f>
        <v>0216054</v>
      </c>
    </row>
    <row r="502" spans="1:9">
      <c r="A502" s="290">
        <v>216065</v>
      </c>
      <c r="B502" s="289" t="s">
        <v>667</v>
      </c>
      <c r="C502" s="289" t="s">
        <v>668</v>
      </c>
      <c r="D502" s="289" t="s">
        <v>1833</v>
      </c>
      <c r="E502" s="289" t="s">
        <v>1834</v>
      </c>
      <c r="F502" s="289" t="s">
        <v>1835</v>
      </c>
      <c r="I502" s="289" t="str">
        <f>("0216065")</f>
        <v>0216065</v>
      </c>
    </row>
    <row r="503" spans="1:9">
      <c r="A503" s="290">
        <v>216087</v>
      </c>
      <c r="B503" s="289" t="s">
        <v>667</v>
      </c>
      <c r="C503" s="289" t="s">
        <v>668</v>
      </c>
      <c r="D503" s="289" t="s">
        <v>1836</v>
      </c>
      <c r="E503" s="289" t="s">
        <v>1837</v>
      </c>
      <c r="F503" s="289" t="s">
        <v>4905</v>
      </c>
      <c r="I503" s="289" t="str">
        <f>("0216087")</f>
        <v>0216087</v>
      </c>
    </row>
    <row r="504" spans="1:9">
      <c r="A504" s="290">
        <v>216098</v>
      </c>
      <c r="B504" s="289" t="s">
        <v>667</v>
      </c>
      <c r="C504" s="289" t="s">
        <v>668</v>
      </c>
      <c r="D504" s="289" t="s">
        <v>1838</v>
      </c>
      <c r="E504" s="289" t="s">
        <v>1839</v>
      </c>
      <c r="F504" s="289" t="s">
        <v>1840</v>
      </c>
      <c r="I504" s="289" t="str">
        <f>("0216098")</f>
        <v>0216098</v>
      </c>
    </row>
    <row r="505" spans="1:9">
      <c r="A505" s="290">
        <v>216100</v>
      </c>
      <c r="B505" s="289" t="s">
        <v>667</v>
      </c>
      <c r="C505" s="289" t="s">
        <v>668</v>
      </c>
      <c r="D505" s="289" t="s">
        <v>5255</v>
      </c>
      <c r="E505" s="289" t="s">
        <v>5256</v>
      </c>
      <c r="F505" s="289" t="s">
        <v>5257</v>
      </c>
      <c r="I505" s="289" t="str">
        <f>("0216100")</f>
        <v>0216100</v>
      </c>
    </row>
    <row r="506" spans="1:9">
      <c r="A506" s="290">
        <v>216166</v>
      </c>
      <c r="B506" s="289" t="s">
        <v>667</v>
      </c>
      <c r="C506" s="289" t="s">
        <v>668</v>
      </c>
      <c r="D506" s="289" t="s">
        <v>1841</v>
      </c>
      <c r="E506" s="289" t="s">
        <v>1842</v>
      </c>
      <c r="F506" s="289" t="s">
        <v>1843</v>
      </c>
      <c r="I506" s="289" t="str">
        <f>("0216166")</f>
        <v>0216166</v>
      </c>
    </row>
    <row r="507" spans="1:9">
      <c r="A507" s="290">
        <v>216177</v>
      </c>
      <c r="B507" s="289" t="s">
        <v>667</v>
      </c>
      <c r="C507" s="289" t="s">
        <v>668</v>
      </c>
      <c r="D507" s="289" t="s">
        <v>1844</v>
      </c>
      <c r="E507" s="289" t="s">
        <v>1845</v>
      </c>
      <c r="F507" s="289" t="s">
        <v>1846</v>
      </c>
      <c r="I507" s="289" t="str">
        <f>("0216177")</f>
        <v>0216177</v>
      </c>
    </row>
    <row r="508" spans="1:9">
      <c r="A508" s="290">
        <v>216302</v>
      </c>
      <c r="B508" s="289" t="s">
        <v>1537</v>
      </c>
      <c r="C508" s="289" t="s">
        <v>5258</v>
      </c>
      <c r="D508" s="289" t="s">
        <v>1847</v>
      </c>
      <c r="E508" s="289" t="s">
        <v>1848</v>
      </c>
      <c r="F508" s="289" t="s">
        <v>1849</v>
      </c>
      <c r="I508" s="289" t="str">
        <f>("0216302")</f>
        <v>0216302</v>
      </c>
    </row>
    <row r="509" spans="1:9">
      <c r="A509" s="290">
        <v>216357</v>
      </c>
      <c r="B509" s="289" t="s">
        <v>1537</v>
      </c>
      <c r="C509" s="289" t="s">
        <v>1538</v>
      </c>
      <c r="D509" s="289" t="s">
        <v>4906</v>
      </c>
      <c r="E509" s="289" t="s">
        <v>4906</v>
      </c>
      <c r="F509" s="289" t="s">
        <v>4907</v>
      </c>
      <c r="I509" s="289" t="str">
        <f>("0216357")</f>
        <v>0216357</v>
      </c>
    </row>
    <row r="510" spans="1:9">
      <c r="A510" s="290">
        <v>216391</v>
      </c>
      <c r="B510" s="289" t="s">
        <v>667</v>
      </c>
      <c r="C510" s="289" t="s">
        <v>668</v>
      </c>
      <c r="D510" s="289" t="s">
        <v>1850</v>
      </c>
      <c r="E510" s="289" t="s">
        <v>1851</v>
      </c>
      <c r="F510" s="289" t="s">
        <v>1852</v>
      </c>
      <c r="I510" s="289" t="str">
        <f>("0216391")</f>
        <v>0216391</v>
      </c>
    </row>
    <row r="511" spans="1:9">
      <c r="A511" s="290">
        <v>216403</v>
      </c>
      <c r="B511" s="289" t="s">
        <v>667</v>
      </c>
      <c r="C511" s="289" t="s">
        <v>668</v>
      </c>
      <c r="D511" s="289" t="s">
        <v>4908</v>
      </c>
      <c r="E511" s="289" t="s">
        <v>4909</v>
      </c>
      <c r="F511" s="289" t="s">
        <v>4910</v>
      </c>
      <c r="I511" s="289" t="str">
        <f>("0216403")</f>
        <v>0216403</v>
      </c>
    </row>
    <row r="512" spans="1:9">
      <c r="A512" s="290">
        <v>216425</v>
      </c>
      <c r="B512" s="289" t="s">
        <v>667</v>
      </c>
      <c r="C512" s="289" t="s">
        <v>668</v>
      </c>
      <c r="D512" s="289" t="s">
        <v>1853</v>
      </c>
      <c r="E512" s="289" t="s">
        <v>1854</v>
      </c>
      <c r="F512" s="289" t="s">
        <v>1855</v>
      </c>
      <c r="I512" s="289" t="str">
        <f>("0216425")</f>
        <v>0216425</v>
      </c>
    </row>
    <row r="513" spans="1:9">
      <c r="A513" s="290">
        <v>216436</v>
      </c>
      <c r="B513" s="289" t="s">
        <v>667</v>
      </c>
      <c r="C513" s="289" t="s">
        <v>668</v>
      </c>
      <c r="D513" s="289" t="s">
        <v>1856</v>
      </c>
      <c r="E513" s="289" t="s">
        <v>1857</v>
      </c>
      <c r="F513" s="289" t="s">
        <v>1858</v>
      </c>
      <c r="I513" s="289" t="str">
        <f>("0216436")</f>
        <v>0216436</v>
      </c>
    </row>
    <row r="514" spans="1:9">
      <c r="A514" s="290">
        <v>216447</v>
      </c>
      <c r="B514" s="289" t="s">
        <v>667</v>
      </c>
      <c r="C514" s="289" t="s">
        <v>668</v>
      </c>
      <c r="D514" s="289" t="s">
        <v>1859</v>
      </c>
      <c r="E514" s="289" t="s">
        <v>1860</v>
      </c>
      <c r="F514" s="289" t="s">
        <v>1861</v>
      </c>
      <c r="I514" s="289" t="str">
        <f>("0216447")</f>
        <v>0216447</v>
      </c>
    </row>
    <row r="515" spans="1:9">
      <c r="A515" s="290">
        <v>216470</v>
      </c>
      <c r="B515" s="289" t="s">
        <v>667</v>
      </c>
      <c r="C515" s="289" t="s">
        <v>668</v>
      </c>
      <c r="D515" s="289" t="s">
        <v>1862</v>
      </c>
      <c r="E515" s="289" t="s">
        <v>1863</v>
      </c>
      <c r="F515" s="289" t="s">
        <v>1864</v>
      </c>
      <c r="I515" s="289" t="str">
        <f>("0216470")</f>
        <v>0216470</v>
      </c>
    </row>
    <row r="516" spans="1:9">
      <c r="A516" s="290">
        <v>216481</v>
      </c>
      <c r="B516" s="289" t="s">
        <v>667</v>
      </c>
      <c r="C516" s="289" t="s">
        <v>668</v>
      </c>
      <c r="D516" s="289" t="s">
        <v>1865</v>
      </c>
      <c r="E516" s="289" t="s">
        <v>1866</v>
      </c>
      <c r="F516" s="289" t="s">
        <v>1867</v>
      </c>
      <c r="I516" s="289" t="str">
        <f>("0216481")</f>
        <v>0216481</v>
      </c>
    </row>
    <row r="517" spans="1:9">
      <c r="A517" s="290">
        <v>216504</v>
      </c>
      <c r="B517" s="289" t="s">
        <v>667</v>
      </c>
      <c r="C517" s="289" t="s">
        <v>668</v>
      </c>
      <c r="D517" s="289" t="s">
        <v>1868</v>
      </c>
      <c r="E517" s="289" t="s">
        <v>1869</v>
      </c>
      <c r="F517" s="289" t="s">
        <v>1870</v>
      </c>
      <c r="I517" s="289" t="str">
        <f>("0216504")</f>
        <v>0216504</v>
      </c>
    </row>
    <row r="518" spans="1:9">
      <c r="A518" s="290">
        <v>216515</v>
      </c>
      <c r="B518" s="289" t="s">
        <v>667</v>
      </c>
      <c r="C518" s="289" t="s">
        <v>668</v>
      </c>
      <c r="D518" s="289" t="s">
        <v>1871</v>
      </c>
      <c r="E518" s="289" t="s">
        <v>1872</v>
      </c>
      <c r="F518" s="289" t="s">
        <v>1873</v>
      </c>
      <c r="I518" s="289" t="str">
        <f>("0216515")</f>
        <v>0216515</v>
      </c>
    </row>
    <row r="519" spans="1:9">
      <c r="A519" s="290">
        <v>216537</v>
      </c>
      <c r="B519" s="289" t="s">
        <v>667</v>
      </c>
      <c r="C519" s="289" t="s">
        <v>668</v>
      </c>
      <c r="D519" s="289" t="s">
        <v>1874</v>
      </c>
      <c r="E519" s="289" t="s">
        <v>1875</v>
      </c>
      <c r="F519" s="289" t="s">
        <v>1876</v>
      </c>
      <c r="I519" s="289" t="str">
        <f>("0216537")</f>
        <v>0216537</v>
      </c>
    </row>
    <row r="520" spans="1:9">
      <c r="A520" s="290">
        <v>216548</v>
      </c>
      <c r="B520" s="289" t="s">
        <v>667</v>
      </c>
      <c r="C520" s="289" t="s">
        <v>668</v>
      </c>
      <c r="D520" s="289" t="s">
        <v>1877</v>
      </c>
      <c r="E520" s="289" t="s">
        <v>1878</v>
      </c>
      <c r="F520" s="289" t="s">
        <v>1879</v>
      </c>
      <c r="I520" s="289" t="str">
        <f>("0216548")</f>
        <v>0216548</v>
      </c>
    </row>
    <row r="521" spans="1:9">
      <c r="A521" s="290">
        <v>216559</v>
      </c>
      <c r="B521" s="289" t="s">
        <v>667</v>
      </c>
      <c r="C521" s="289" t="s">
        <v>668</v>
      </c>
      <c r="D521" s="289" t="s">
        <v>1880</v>
      </c>
      <c r="E521" s="289" t="s">
        <v>1881</v>
      </c>
      <c r="F521" s="289" t="s">
        <v>1882</v>
      </c>
      <c r="I521" s="289" t="str">
        <f>("0216559")</f>
        <v>0216559</v>
      </c>
    </row>
    <row r="522" spans="1:9">
      <c r="A522" s="290">
        <v>216560</v>
      </c>
      <c r="B522" s="289" t="s">
        <v>667</v>
      </c>
      <c r="C522" s="289" t="s">
        <v>668</v>
      </c>
      <c r="D522" s="289" t="s">
        <v>1883</v>
      </c>
      <c r="E522" s="289" t="s">
        <v>1884</v>
      </c>
      <c r="F522" s="289" t="s">
        <v>1885</v>
      </c>
      <c r="I522" s="289" t="str">
        <f>("0216560")</f>
        <v>0216560</v>
      </c>
    </row>
    <row r="523" spans="1:9">
      <c r="A523" s="290">
        <v>216571</v>
      </c>
      <c r="B523" s="289" t="s">
        <v>667</v>
      </c>
      <c r="C523" s="289" t="s">
        <v>668</v>
      </c>
      <c r="D523" s="289" t="s">
        <v>1886</v>
      </c>
      <c r="E523" s="289" t="s">
        <v>1887</v>
      </c>
      <c r="F523" s="289" t="s">
        <v>1888</v>
      </c>
      <c r="I523" s="289" t="str">
        <f>("0216571")</f>
        <v>0216571</v>
      </c>
    </row>
    <row r="524" spans="1:9">
      <c r="A524" s="290">
        <v>216582</v>
      </c>
      <c r="B524" s="289" t="s">
        <v>667</v>
      </c>
      <c r="C524" s="289" t="s">
        <v>668</v>
      </c>
      <c r="D524" s="289" t="s">
        <v>1889</v>
      </c>
      <c r="E524" s="289" t="s">
        <v>1890</v>
      </c>
      <c r="F524" s="289" t="s">
        <v>1891</v>
      </c>
      <c r="I524" s="289" t="str">
        <f>("0216582")</f>
        <v>0216582</v>
      </c>
    </row>
    <row r="525" spans="1:9">
      <c r="A525" s="290">
        <v>216593</v>
      </c>
      <c r="B525" s="289" t="s">
        <v>667</v>
      </c>
      <c r="C525" s="289" t="s">
        <v>668</v>
      </c>
      <c r="D525" s="289" t="s">
        <v>1892</v>
      </c>
      <c r="E525" s="289" t="s">
        <v>1893</v>
      </c>
      <c r="F525" s="289" t="s">
        <v>4695</v>
      </c>
      <c r="I525" s="289" t="str">
        <f>("0216593")</f>
        <v>0216593</v>
      </c>
    </row>
    <row r="526" spans="1:9">
      <c r="A526" s="290">
        <v>216605</v>
      </c>
      <c r="B526" s="289" t="s">
        <v>667</v>
      </c>
      <c r="C526" s="289" t="s">
        <v>668</v>
      </c>
      <c r="D526" s="289" t="s">
        <v>1894</v>
      </c>
      <c r="E526" s="289" t="s">
        <v>1895</v>
      </c>
      <c r="F526" s="289" t="s">
        <v>1896</v>
      </c>
      <c r="I526" s="289" t="str">
        <f>("0216605")</f>
        <v>0216605</v>
      </c>
    </row>
    <row r="527" spans="1:9">
      <c r="A527" s="290">
        <v>216649</v>
      </c>
      <c r="B527" s="289" t="s">
        <v>667</v>
      </c>
      <c r="C527" s="289" t="s">
        <v>668</v>
      </c>
      <c r="D527" s="289" t="s">
        <v>1897</v>
      </c>
      <c r="E527" s="289" t="s">
        <v>1898</v>
      </c>
      <c r="F527" s="289" t="s">
        <v>1899</v>
      </c>
      <c r="I527" s="289" t="str">
        <f>("0216649")</f>
        <v>0216649</v>
      </c>
    </row>
    <row r="528" spans="1:9">
      <c r="A528" s="290">
        <v>216650</v>
      </c>
      <c r="B528" s="289" t="s">
        <v>667</v>
      </c>
      <c r="C528" s="289" t="s">
        <v>668</v>
      </c>
      <c r="D528" s="289" t="s">
        <v>1900</v>
      </c>
      <c r="E528" s="289" t="s">
        <v>1901</v>
      </c>
      <c r="F528" s="289" t="s">
        <v>1902</v>
      </c>
      <c r="I528" s="289" t="str">
        <f>("0216650")</f>
        <v>0216650</v>
      </c>
    </row>
    <row r="529" spans="1:9">
      <c r="A529" s="290">
        <v>216683</v>
      </c>
      <c r="B529" s="289" t="s">
        <v>667</v>
      </c>
      <c r="C529" s="289" t="s">
        <v>668</v>
      </c>
      <c r="D529" s="289" t="s">
        <v>1903</v>
      </c>
      <c r="E529" s="289" t="s">
        <v>1904</v>
      </c>
      <c r="F529" s="289" t="s">
        <v>1905</v>
      </c>
      <c r="I529" s="289" t="str">
        <f>("0216683")</f>
        <v>0216683</v>
      </c>
    </row>
    <row r="530" spans="1:9">
      <c r="A530" s="290">
        <v>216694</v>
      </c>
      <c r="B530" s="289" t="s">
        <v>667</v>
      </c>
      <c r="C530" s="289" t="s">
        <v>668</v>
      </c>
      <c r="D530" s="289" t="s">
        <v>1906</v>
      </c>
      <c r="E530" s="289" t="s">
        <v>1907</v>
      </c>
      <c r="F530" s="289" t="s">
        <v>1908</v>
      </c>
      <c r="I530" s="289" t="str">
        <f>("0216694")</f>
        <v>0216694</v>
      </c>
    </row>
    <row r="531" spans="1:9">
      <c r="A531" s="290">
        <v>216706</v>
      </c>
      <c r="B531" s="289" t="s">
        <v>667</v>
      </c>
      <c r="C531" s="289" t="s">
        <v>668</v>
      </c>
      <c r="D531" s="289" t="s">
        <v>1909</v>
      </c>
      <c r="E531" s="289" t="s">
        <v>1910</v>
      </c>
      <c r="F531" s="289" t="s">
        <v>1911</v>
      </c>
      <c r="I531" s="289" t="str">
        <f>("0216706")</f>
        <v>0216706</v>
      </c>
    </row>
    <row r="532" spans="1:9">
      <c r="A532" s="290">
        <v>216739</v>
      </c>
      <c r="B532" s="289" t="s">
        <v>667</v>
      </c>
      <c r="C532" s="289" t="s">
        <v>668</v>
      </c>
      <c r="D532" s="289" t="s">
        <v>1912</v>
      </c>
      <c r="E532" s="289" t="s">
        <v>1912</v>
      </c>
      <c r="F532" s="289" t="s">
        <v>1913</v>
      </c>
      <c r="I532" s="289" t="str">
        <f>("0216739")</f>
        <v>0216739</v>
      </c>
    </row>
    <row r="533" spans="1:9">
      <c r="A533" s="290">
        <v>216751</v>
      </c>
      <c r="B533" s="289" t="s">
        <v>667</v>
      </c>
      <c r="C533" s="289" t="s">
        <v>668</v>
      </c>
      <c r="D533" s="289" t="s">
        <v>1914</v>
      </c>
      <c r="E533" s="289" t="s">
        <v>1915</v>
      </c>
      <c r="F533" s="289" t="s">
        <v>1916</v>
      </c>
      <c r="I533" s="289" t="str">
        <f>("0216751")</f>
        <v>0216751</v>
      </c>
    </row>
    <row r="534" spans="1:9">
      <c r="A534" s="290">
        <v>216762</v>
      </c>
      <c r="B534" s="289" t="s">
        <v>667</v>
      </c>
      <c r="C534" s="289" t="s">
        <v>668</v>
      </c>
      <c r="D534" s="289" t="s">
        <v>1917</v>
      </c>
      <c r="E534" s="289" t="s">
        <v>1918</v>
      </c>
      <c r="F534" s="289" t="s">
        <v>1919</v>
      </c>
      <c r="I534" s="289" t="str">
        <f>("0216762")</f>
        <v>0216762</v>
      </c>
    </row>
    <row r="535" spans="1:9">
      <c r="A535" s="290">
        <v>216784</v>
      </c>
      <c r="B535" s="289" t="s">
        <v>667</v>
      </c>
      <c r="C535" s="289" t="s">
        <v>668</v>
      </c>
      <c r="D535" s="289" t="s">
        <v>1920</v>
      </c>
      <c r="E535" s="289" t="s">
        <v>1921</v>
      </c>
      <c r="F535" s="289" t="s">
        <v>1922</v>
      </c>
      <c r="I535" s="289" t="str">
        <f>("0216784")</f>
        <v>0216784</v>
      </c>
    </row>
    <row r="536" spans="1:9">
      <c r="A536" s="290">
        <v>216830</v>
      </c>
      <c r="B536" s="289" t="s">
        <v>667</v>
      </c>
      <c r="C536" s="289" t="s">
        <v>668</v>
      </c>
      <c r="D536" s="289" t="s">
        <v>4911</v>
      </c>
      <c r="E536" s="289" t="s">
        <v>4912</v>
      </c>
      <c r="F536" s="289" t="s">
        <v>4913</v>
      </c>
      <c r="I536" s="289" t="str">
        <f>("0216830")</f>
        <v>0216830</v>
      </c>
    </row>
    <row r="537" spans="1:9">
      <c r="A537" s="290">
        <v>216863</v>
      </c>
      <c r="B537" s="289" t="s">
        <v>667</v>
      </c>
      <c r="C537" s="289" t="s">
        <v>668</v>
      </c>
      <c r="D537" s="289" t="s">
        <v>1923</v>
      </c>
      <c r="E537" s="289" t="s">
        <v>1924</v>
      </c>
      <c r="F537" s="289" t="s">
        <v>1925</v>
      </c>
      <c r="I537" s="289" t="str">
        <f>("0216863")</f>
        <v>0216863</v>
      </c>
    </row>
    <row r="538" spans="1:9">
      <c r="A538" s="290">
        <v>216874</v>
      </c>
      <c r="B538" s="289" t="s">
        <v>667</v>
      </c>
      <c r="C538" s="289" t="s">
        <v>668</v>
      </c>
      <c r="D538" s="289" t="s">
        <v>1926</v>
      </c>
      <c r="E538" s="289" t="s">
        <v>1927</v>
      </c>
      <c r="F538" s="289" t="s">
        <v>1928</v>
      </c>
      <c r="I538" s="289" t="str">
        <f>("0216874")</f>
        <v>0216874</v>
      </c>
    </row>
    <row r="539" spans="1:9">
      <c r="A539" s="290">
        <v>216920</v>
      </c>
      <c r="B539" s="289" t="s">
        <v>667</v>
      </c>
      <c r="C539" s="289" t="s">
        <v>668</v>
      </c>
      <c r="D539" s="289" t="s">
        <v>4696</v>
      </c>
      <c r="E539" s="289" t="s">
        <v>4697</v>
      </c>
      <c r="F539" s="289" t="s">
        <v>4698</v>
      </c>
      <c r="I539" s="289" t="str">
        <f>("0216920")</f>
        <v>0216920</v>
      </c>
    </row>
    <row r="540" spans="1:9">
      <c r="A540" s="290">
        <v>216931</v>
      </c>
      <c r="B540" s="289" t="s">
        <v>667</v>
      </c>
      <c r="C540" s="289" t="s">
        <v>668</v>
      </c>
      <c r="D540" s="289" t="s">
        <v>5259</v>
      </c>
      <c r="E540" s="289" t="s">
        <v>5260</v>
      </c>
      <c r="F540" s="289" t="s">
        <v>5261</v>
      </c>
      <c r="I540" s="289" t="str">
        <f>("0216931")</f>
        <v>0216931</v>
      </c>
    </row>
    <row r="541" spans="1:9">
      <c r="A541" s="290">
        <v>216942</v>
      </c>
      <c r="B541" s="289" t="s">
        <v>667</v>
      </c>
      <c r="C541" s="289" t="s">
        <v>668</v>
      </c>
      <c r="D541" s="289" t="s">
        <v>4699</v>
      </c>
      <c r="E541" s="289" t="s">
        <v>4700</v>
      </c>
      <c r="F541" s="289" t="s">
        <v>4701</v>
      </c>
      <c r="I541" s="289" t="str">
        <f>("0216942")</f>
        <v>0216942</v>
      </c>
    </row>
    <row r="542" spans="1:9">
      <c r="A542" s="290">
        <v>216975</v>
      </c>
      <c r="B542" s="289" t="s">
        <v>667</v>
      </c>
      <c r="C542" s="289" t="s">
        <v>668</v>
      </c>
      <c r="D542" s="289" t="s">
        <v>1929</v>
      </c>
      <c r="E542" s="289" t="s">
        <v>1930</v>
      </c>
      <c r="F542" s="289" t="s">
        <v>1931</v>
      </c>
      <c r="I542" s="289" t="str">
        <f>("0216975")</f>
        <v>0216975</v>
      </c>
    </row>
    <row r="543" spans="1:9">
      <c r="A543" s="290">
        <v>216997</v>
      </c>
      <c r="B543" s="289" t="s">
        <v>667</v>
      </c>
      <c r="C543" s="289" t="s">
        <v>668</v>
      </c>
      <c r="D543" s="289" t="s">
        <v>1932</v>
      </c>
      <c r="E543" s="289" t="s">
        <v>1933</v>
      </c>
      <c r="F543" s="289" t="s">
        <v>1934</v>
      </c>
      <c r="I543" s="289" t="str">
        <f>("0216997")</f>
        <v>0216997</v>
      </c>
    </row>
    <row r="544" spans="1:9">
      <c r="A544" s="290">
        <v>217022</v>
      </c>
      <c r="B544" s="289" t="s">
        <v>667</v>
      </c>
      <c r="C544" s="289" t="s">
        <v>668</v>
      </c>
      <c r="D544" s="289" t="s">
        <v>1935</v>
      </c>
      <c r="E544" s="289" t="s">
        <v>1936</v>
      </c>
      <c r="F544" s="289" t="s">
        <v>1937</v>
      </c>
      <c r="I544" s="289" t="str">
        <f>("0217022")</f>
        <v>0217022</v>
      </c>
    </row>
    <row r="545" spans="1:9">
      <c r="A545" s="290">
        <v>217066</v>
      </c>
      <c r="B545" s="289" t="s">
        <v>667</v>
      </c>
      <c r="C545" s="289" t="s">
        <v>668</v>
      </c>
      <c r="D545" s="289" t="s">
        <v>1938</v>
      </c>
      <c r="E545" s="289" t="s">
        <v>1939</v>
      </c>
      <c r="F545" s="289" t="s">
        <v>1940</v>
      </c>
      <c r="I545" s="289" t="str">
        <f>("0217066")</f>
        <v>0217066</v>
      </c>
    </row>
    <row r="546" spans="1:9">
      <c r="A546" s="290">
        <v>217088</v>
      </c>
      <c r="B546" s="289" t="s">
        <v>667</v>
      </c>
      <c r="C546" s="289" t="s">
        <v>668</v>
      </c>
      <c r="D546" s="289" t="s">
        <v>1941</v>
      </c>
      <c r="E546" s="289" t="s">
        <v>1942</v>
      </c>
      <c r="F546" s="289" t="s">
        <v>5262</v>
      </c>
      <c r="I546" s="289" t="str">
        <f>("0217088")</f>
        <v>0217088</v>
      </c>
    </row>
    <row r="547" spans="1:9">
      <c r="A547" s="290">
        <v>217123</v>
      </c>
      <c r="B547" s="289" t="s">
        <v>667</v>
      </c>
      <c r="C547" s="289" t="s">
        <v>668</v>
      </c>
      <c r="D547" s="289" t="s">
        <v>1943</v>
      </c>
      <c r="E547" s="289" t="s">
        <v>1944</v>
      </c>
      <c r="F547" s="289" t="s">
        <v>1945</v>
      </c>
      <c r="I547" s="289" t="str">
        <f>("0217123")</f>
        <v>0217123</v>
      </c>
    </row>
    <row r="548" spans="1:9">
      <c r="A548" s="290">
        <v>217134</v>
      </c>
      <c r="B548" s="289" t="s">
        <v>667</v>
      </c>
      <c r="C548" s="289" t="s">
        <v>668</v>
      </c>
      <c r="D548" s="289" t="s">
        <v>1946</v>
      </c>
      <c r="E548" s="289" t="s">
        <v>1947</v>
      </c>
      <c r="F548" s="289" t="s">
        <v>1948</v>
      </c>
      <c r="I548" s="289" t="str">
        <f>("0217134")</f>
        <v>0217134</v>
      </c>
    </row>
    <row r="549" spans="1:9">
      <c r="A549" s="290">
        <v>217178</v>
      </c>
      <c r="B549" s="289" t="s">
        <v>667</v>
      </c>
      <c r="C549" s="289" t="s">
        <v>668</v>
      </c>
      <c r="D549" s="289" t="s">
        <v>1949</v>
      </c>
      <c r="E549" s="289" t="s">
        <v>1950</v>
      </c>
      <c r="F549" s="289" t="s">
        <v>1951</v>
      </c>
      <c r="I549" s="289" t="str">
        <f>("0217178")</f>
        <v>0217178</v>
      </c>
    </row>
    <row r="550" spans="1:9">
      <c r="A550" s="290">
        <v>217279</v>
      </c>
      <c r="B550" s="289" t="s">
        <v>667</v>
      </c>
      <c r="C550" s="289" t="s">
        <v>668</v>
      </c>
      <c r="D550" s="289" t="s">
        <v>1952</v>
      </c>
      <c r="E550" s="289" t="s">
        <v>1953</v>
      </c>
      <c r="F550" s="289" t="s">
        <v>1954</v>
      </c>
      <c r="I550" s="289" t="str">
        <f>("0217279")</f>
        <v>0217279</v>
      </c>
    </row>
    <row r="551" spans="1:9">
      <c r="A551" s="290">
        <v>217280</v>
      </c>
      <c r="B551" s="289" t="s">
        <v>667</v>
      </c>
      <c r="C551" s="289" t="s">
        <v>668</v>
      </c>
      <c r="D551" s="289" t="s">
        <v>1955</v>
      </c>
      <c r="E551" s="289" t="s">
        <v>1956</v>
      </c>
      <c r="F551" s="289" t="s">
        <v>1957</v>
      </c>
      <c r="I551" s="289" t="str">
        <f>("0217280")</f>
        <v>0217280</v>
      </c>
    </row>
    <row r="552" spans="1:9">
      <c r="A552" s="290">
        <v>217303</v>
      </c>
      <c r="B552" s="289" t="s">
        <v>667</v>
      </c>
      <c r="C552" s="289" t="s">
        <v>668</v>
      </c>
      <c r="D552" s="289" t="s">
        <v>1958</v>
      </c>
      <c r="E552" s="289" t="s">
        <v>1959</v>
      </c>
      <c r="F552" s="289" t="s">
        <v>4914</v>
      </c>
      <c r="I552" s="289" t="str">
        <f>("0217303")</f>
        <v>0217303</v>
      </c>
    </row>
    <row r="553" spans="1:9">
      <c r="A553" s="290">
        <v>217314</v>
      </c>
      <c r="B553" s="289" t="s">
        <v>667</v>
      </c>
      <c r="C553" s="289" t="s">
        <v>668</v>
      </c>
      <c r="D553" s="289" t="s">
        <v>1960</v>
      </c>
      <c r="E553" s="289" t="s">
        <v>1961</v>
      </c>
      <c r="F553" s="289" t="s">
        <v>1962</v>
      </c>
      <c r="I553" s="289" t="str">
        <f>("0217314")</f>
        <v>0217314</v>
      </c>
    </row>
    <row r="554" spans="1:9">
      <c r="A554" s="290">
        <v>217336</v>
      </c>
      <c r="B554" s="289" t="s">
        <v>667</v>
      </c>
      <c r="C554" s="289" t="s">
        <v>668</v>
      </c>
      <c r="D554" s="289" t="s">
        <v>1963</v>
      </c>
      <c r="E554" s="289" t="s">
        <v>1964</v>
      </c>
      <c r="F554" s="289" t="s">
        <v>1965</v>
      </c>
      <c r="I554" s="289" t="str">
        <f>("0217336")</f>
        <v>0217336</v>
      </c>
    </row>
    <row r="555" spans="1:9">
      <c r="A555" s="290">
        <v>217358</v>
      </c>
      <c r="B555" s="289" t="s">
        <v>667</v>
      </c>
      <c r="C555" s="289" t="s">
        <v>668</v>
      </c>
      <c r="D555" s="289" t="s">
        <v>1966</v>
      </c>
      <c r="E555" s="289" t="s">
        <v>1967</v>
      </c>
      <c r="F555" s="289" t="s">
        <v>1968</v>
      </c>
      <c r="I555" s="289" t="str">
        <f>("0217358")</f>
        <v>0217358</v>
      </c>
    </row>
    <row r="556" spans="1:9">
      <c r="A556" s="290">
        <v>217370</v>
      </c>
      <c r="B556" s="289" t="s">
        <v>667</v>
      </c>
      <c r="C556" s="289" t="s">
        <v>668</v>
      </c>
      <c r="D556" s="289" t="s">
        <v>1969</v>
      </c>
      <c r="E556" s="289" t="s">
        <v>1970</v>
      </c>
      <c r="F556" s="289" t="s">
        <v>1971</v>
      </c>
      <c r="I556" s="289" t="str">
        <f>("0217370")</f>
        <v>0217370</v>
      </c>
    </row>
    <row r="557" spans="1:9">
      <c r="A557" s="290">
        <v>217381</v>
      </c>
      <c r="B557" s="289" t="s">
        <v>667</v>
      </c>
      <c r="C557" s="289" t="s">
        <v>668</v>
      </c>
      <c r="D557" s="289" t="s">
        <v>1972</v>
      </c>
      <c r="E557" s="289" t="s">
        <v>1973</v>
      </c>
      <c r="F557" s="289" t="s">
        <v>1974</v>
      </c>
      <c r="I557" s="289" t="str">
        <f>("0217381")</f>
        <v>0217381</v>
      </c>
    </row>
    <row r="558" spans="1:9">
      <c r="A558" s="290">
        <v>217392</v>
      </c>
      <c r="B558" s="289" t="s">
        <v>667</v>
      </c>
      <c r="C558" s="289" t="s">
        <v>668</v>
      </c>
      <c r="D558" s="289" t="s">
        <v>1975</v>
      </c>
      <c r="E558" s="289" t="s">
        <v>1976</v>
      </c>
      <c r="F558" s="289" t="s">
        <v>1977</v>
      </c>
      <c r="I558" s="289" t="str">
        <f>("0217392")</f>
        <v>0217392</v>
      </c>
    </row>
    <row r="559" spans="1:9">
      <c r="A559" s="290">
        <v>217404</v>
      </c>
      <c r="B559" s="289" t="s">
        <v>667</v>
      </c>
      <c r="C559" s="289" t="s">
        <v>668</v>
      </c>
      <c r="D559" s="289" t="s">
        <v>1978</v>
      </c>
      <c r="E559" s="289" t="s">
        <v>1979</v>
      </c>
      <c r="F559" s="289" t="s">
        <v>1980</v>
      </c>
      <c r="I559" s="289" t="str">
        <f>("0217404")</f>
        <v>0217404</v>
      </c>
    </row>
    <row r="560" spans="1:9">
      <c r="A560" s="290">
        <v>217415</v>
      </c>
      <c r="B560" s="289" t="s">
        <v>667</v>
      </c>
      <c r="C560" s="289" t="s">
        <v>668</v>
      </c>
      <c r="D560" s="289" t="s">
        <v>1981</v>
      </c>
      <c r="E560" s="289" t="s">
        <v>1982</v>
      </c>
      <c r="F560" s="289" t="s">
        <v>1983</v>
      </c>
      <c r="I560" s="289" t="str">
        <f>("0217415")</f>
        <v>0217415</v>
      </c>
    </row>
    <row r="561" spans="1:9">
      <c r="A561" s="290">
        <v>217426</v>
      </c>
      <c r="B561" s="289" t="s">
        <v>667</v>
      </c>
      <c r="C561" s="289" t="s">
        <v>668</v>
      </c>
      <c r="D561" s="289" t="s">
        <v>1984</v>
      </c>
      <c r="E561" s="289" t="s">
        <v>1985</v>
      </c>
      <c r="F561" s="289" t="s">
        <v>4915</v>
      </c>
      <c r="I561" s="289" t="str">
        <f>("0217426")</f>
        <v>0217426</v>
      </c>
    </row>
    <row r="562" spans="1:9">
      <c r="A562" s="290">
        <v>217437</v>
      </c>
      <c r="B562" s="289" t="s">
        <v>667</v>
      </c>
      <c r="C562" s="289" t="s">
        <v>668</v>
      </c>
      <c r="D562" s="289" t="s">
        <v>1986</v>
      </c>
      <c r="E562" s="289" t="s">
        <v>1987</v>
      </c>
      <c r="F562" s="289" t="s">
        <v>1988</v>
      </c>
      <c r="I562" s="289" t="str">
        <f>("0217437")</f>
        <v>0217437</v>
      </c>
    </row>
    <row r="563" spans="1:9">
      <c r="A563" s="290">
        <v>217448</v>
      </c>
      <c r="B563" s="289" t="s">
        <v>667</v>
      </c>
      <c r="C563" s="289" t="s">
        <v>668</v>
      </c>
      <c r="D563" s="289" t="s">
        <v>1989</v>
      </c>
      <c r="E563" s="289" t="s">
        <v>1990</v>
      </c>
      <c r="F563" s="289" t="s">
        <v>1991</v>
      </c>
      <c r="I563" s="289" t="str">
        <f>("0217448")</f>
        <v>0217448</v>
      </c>
    </row>
    <row r="564" spans="1:9">
      <c r="A564" s="290">
        <v>217460</v>
      </c>
      <c r="B564" s="289" t="s">
        <v>667</v>
      </c>
      <c r="C564" s="289" t="s">
        <v>668</v>
      </c>
      <c r="D564" s="289" t="s">
        <v>1992</v>
      </c>
      <c r="E564" s="289" t="s">
        <v>1993</v>
      </c>
      <c r="F564" s="289" t="s">
        <v>1994</v>
      </c>
      <c r="I564" s="289" t="str">
        <f>("0217460")</f>
        <v>0217460</v>
      </c>
    </row>
    <row r="565" spans="1:9">
      <c r="A565" s="290">
        <v>217471</v>
      </c>
      <c r="B565" s="289" t="s">
        <v>667</v>
      </c>
      <c r="C565" s="289" t="s">
        <v>668</v>
      </c>
      <c r="D565" s="289" t="s">
        <v>1995</v>
      </c>
      <c r="E565" s="289" t="s">
        <v>1996</v>
      </c>
      <c r="F565" s="289" t="s">
        <v>1997</v>
      </c>
      <c r="I565" s="289" t="str">
        <f>("0217471")</f>
        <v>0217471</v>
      </c>
    </row>
    <row r="566" spans="1:9">
      <c r="A566" s="290">
        <v>217482</v>
      </c>
      <c r="B566" s="289" t="s">
        <v>667</v>
      </c>
      <c r="C566" s="289" t="s">
        <v>668</v>
      </c>
      <c r="D566" s="289" t="s">
        <v>1998</v>
      </c>
      <c r="E566" s="289" t="s">
        <v>1999</v>
      </c>
      <c r="F566" s="289" t="s">
        <v>2000</v>
      </c>
      <c r="I566" s="289" t="str">
        <f>("0217482")</f>
        <v>0217482</v>
      </c>
    </row>
    <row r="567" spans="1:9">
      <c r="A567" s="290">
        <v>217493</v>
      </c>
      <c r="B567" s="289" t="s">
        <v>667</v>
      </c>
      <c r="C567" s="289" t="s">
        <v>668</v>
      </c>
      <c r="D567" s="289" t="s">
        <v>2001</v>
      </c>
      <c r="E567" s="289" t="s">
        <v>2002</v>
      </c>
      <c r="F567" s="289" t="s">
        <v>2003</v>
      </c>
      <c r="I567" s="289" t="str">
        <f>("0217493")</f>
        <v>0217493</v>
      </c>
    </row>
    <row r="568" spans="1:9">
      <c r="A568" s="290">
        <v>217505</v>
      </c>
      <c r="B568" s="289" t="s">
        <v>667</v>
      </c>
      <c r="C568" s="289" t="s">
        <v>668</v>
      </c>
      <c r="D568" s="289" t="s">
        <v>2004</v>
      </c>
      <c r="E568" s="289" t="s">
        <v>2005</v>
      </c>
      <c r="F568" s="289" t="s">
        <v>2006</v>
      </c>
      <c r="I568" s="289" t="str">
        <f>("0217505")</f>
        <v>0217505</v>
      </c>
    </row>
    <row r="569" spans="1:9">
      <c r="A569" s="290">
        <v>217538</v>
      </c>
      <c r="B569" s="289" t="s">
        <v>667</v>
      </c>
      <c r="C569" s="289" t="s">
        <v>668</v>
      </c>
      <c r="D569" s="289" t="s">
        <v>2007</v>
      </c>
      <c r="E569" s="289" t="s">
        <v>2008</v>
      </c>
      <c r="F569" s="289" t="s">
        <v>2009</v>
      </c>
      <c r="I569" s="289" t="str">
        <f>("0217538")</f>
        <v>0217538</v>
      </c>
    </row>
    <row r="570" spans="1:9">
      <c r="A570" s="290">
        <v>217549</v>
      </c>
      <c r="B570" s="289" t="s">
        <v>667</v>
      </c>
      <c r="C570" s="289" t="s">
        <v>668</v>
      </c>
      <c r="D570" s="289" t="s">
        <v>2010</v>
      </c>
      <c r="E570" s="289" t="s">
        <v>2011</v>
      </c>
      <c r="F570" s="289" t="s">
        <v>2012</v>
      </c>
      <c r="I570" s="289" t="str">
        <f>("0217549")</f>
        <v>0217549</v>
      </c>
    </row>
    <row r="571" spans="1:9">
      <c r="A571" s="290">
        <v>217561</v>
      </c>
      <c r="B571" s="289" t="s">
        <v>667</v>
      </c>
      <c r="C571" s="289" t="s">
        <v>668</v>
      </c>
      <c r="D571" s="289" t="s">
        <v>2013</v>
      </c>
      <c r="E571" s="289" t="s">
        <v>2014</v>
      </c>
      <c r="F571" s="289" t="s">
        <v>2015</v>
      </c>
      <c r="I571" s="289" t="str">
        <f>("0217561")</f>
        <v>0217561</v>
      </c>
    </row>
    <row r="572" spans="1:9">
      <c r="A572" s="290">
        <v>217572</v>
      </c>
      <c r="B572" s="289" t="s">
        <v>667</v>
      </c>
      <c r="C572" s="289" t="s">
        <v>668</v>
      </c>
      <c r="D572" s="289" t="s">
        <v>2016</v>
      </c>
      <c r="E572" s="289" t="s">
        <v>2017</v>
      </c>
      <c r="F572" s="289" t="s">
        <v>2018</v>
      </c>
      <c r="I572" s="289" t="str">
        <f>("0217572")</f>
        <v>0217572</v>
      </c>
    </row>
    <row r="573" spans="1:9">
      <c r="A573" s="290">
        <v>217583</v>
      </c>
      <c r="B573" s="289" t="s">
        <v>667</v>
      </c>
      <c r="C573" s="289" t="s">
        <v>668</v>
      </c>
      <c r="D573" s="289" t="s">
        <v>2019</v>
      </c>
      <c r="E573" s="289" t="s">
        <v>2020</v>
      </c>
      <c r="F573" s="289" t="s">
        <v>2021</v>
      </c>
      <c r="I573" s="289" t="str">
        <f>("0217583")</f>
        <v>0217583</v>
      </c>
    </row>
    <row r="574" spans="1:9">
      <c r="A574" s="290">
        <v>217594</v>
      </c>
      <c r="B574" s="289" t="s">
        <v>667</v>
      </c>
      <c r="C574" s="289" t="s">
        <v>668</v>
      </c>
      <c r="D574" s="289" t="s">
        <v>2022</v>
      </c>
      <c r="E574" s="289" t="s">
        <v>2023</v>
      </c>
      <c r="F574" s="289" t="s">
        <v>2024</v>
      </c>
      <c r="I574" s="289" t="str">
        <f>("0217594")</f>
        <v>0217594</v>
      </c>
    </row>
    <row r="575" spans="1:9">
      <c r="A575" s="290">
        <v>217617</v>
      </c>
      <c r="B575" s="289" t="s">
        <v>667</v>
      </c>
      <c r="C575" s="289" t="s">
        <v>668</v>
      </c>
      <c r="D575" s="289" t="s">
        <v>2025</v>
      </c>
      <c r="E575" s="289" t="s">
        <v>2026</v>
      </c>
      <c r="F575" s="289" t="s">
        <v>2027</v>
      </c>
      <c r="I575" s="289" t="str">
        <f>("0217617")</f>
        <v>0217617</v>
      </c>
    </row>
    <row r="576" spans="1:9">
      <c r="A576" s="290">
        <v>217628</v>
      </c>
      <c r="B576" s="289" t="s">
        <v>667</v>
      </c>
      <c r="C576" s="289" t="s">
        <v>668</v>
      </c>
      <c r="D576" s="289" t="s">
        <v>2028</v>
      </c>
      <c r="E576" s="289" t="s">
        <v>2029</v>
      </c>
      <c r="F576" s="289" t="s">
        <v>2030</v>
      </c>
      <c r="I576" s="289" t="str">
        <f>("0217628")</f>
        <v>0217628</v>
      </c>
    </row>
    <row r="577" spans="1:9">
      <c r="A577" s="290">
        <v>217639</v>
      </c>
      <c r="B577" s="289" t="s">
        <v>667</v>
      </c>
      <c r="C577" s="289" t="s">
        <v>668</v>
      </c>
      <c r="D577" s="289" t="s">
        <v>2031</v>
      </c>
      <c r="E577" s="289" t="s">
        <v>2032</v>
      </c>
      <c r="F577" s="289" t="s">
        <v>2033</v>
      </c>
      <c r="I577" s="289" t="str">
        <f>("0217639")</f>
        <v>0217639</v>
      </c>
    </row>
    <row r="578" spans="1:9">
      <c r="A578" s="290">
        <v>217651</v>
      </c>
      <c r="B578" s="289" t="s">
        <v>667</v>
      </c>
      <c r="C578" s="289" t="s">
        <v>668</v>
      </c>
      <c r="D578" s="289" t="s">
        <v>2034</v>
      </c>
      <c r="E578" s="289" t="s">
        <v>2035</v>
      </c>
      <c r="F578" s="289" t="s">
        <v>2036</v>
      </c>
      <c r="I578" s="289" t="str">
        <f>("0217651")</f>
        <v>0217651</v>
      </c>
    </row>
    <row r="579" spans="1:9">
      <c r="A579" s="290">
        <v>217662</v>
      </c>
      <c r="B579" s="289" t="s">
        <v>667</v>
      </c>
      <c r="C579" s="289" t="s">
        <v>668</v>
      </c>
      <c r="D579" s="289" t="s">
        <v>2037</v>
      </c>
      <c r="E579" s="289" t="s">
        <v>2038</v>
      </c>
      <c r="F579" s="289" t="s">
        <v>2039</v>
      </c>
      <c r="I579" s="289" t="str">
        <f>("0217662")</f>
        <v>0217662</v>
      </c>
    </row>
    <row r="580" spans="1:9">
      <c r="A580" s="290">
        <v>217673</v>
      </c>
      <c r="B580" s="289" t="s">
        <v>667</v>
      </c>
      <c r="C580" s="289" t="s">
        <v>668</v>
      </c>
      <c r="D580" s="289" t="s">
        <v>2040</v>
      </c>
      <c r="E580" s="289" t="s">
        <v>2041</v>
      </c>
      <c r="F580" s="289" t="s">
        <v>2042</v>
      </c>
      <c r="I580" s="289" t="str">
        <f>("0217673")</f>
        <v>0217673</v>
      </c>
    </row>
    <row r="581" spans="1:9">
      <c r="A581" s="290">
        <v>217684</v>
      </c>
      <c r="B581" s="289" t="s">
        <v>667</v>
      </c>
      <c r="C581" s="289" t="s">
        <v>668</v>
      </c>
      <c r="D581" s="289" t="s">
        <v>2043</v>
      </c>
      <c r="E581" s="289" t="s">
        <v>2044</v>
      </c>
      <c r="F581" s="289" t="s">
        <v>2045</v>
      </c>
      <c r="I581" s="289" t="str">
        <f>("0217684")</f>
        <v>0217684</v>
      </c>
    </row>
    <row r="582" spans="1:9">
      <c r="A582" s="290">
        <v>217707</v>
      </c>
      <c r="B582" s="289" t="s">
        <v>667</v>
      </c>
      <c r="C582" s="289" t="s">
        <v>668</v>
      </c>
      <c r="D582" s="289" t="s">
        <v>2046</v>
      </c>
      <c r="E582" s="289" t="s">
        <v>2047</v>
      </c>
      <c r="F582" s="289" t="s">
        <v>2048</v>
      </c>
      <c r="I582" s="289" t="str">
        <f>("0217707")</f>
        <v>0217707</v>
      </c>
    </row>
    <row r="583" spans="1:9">
      <c r="A583" s="290">
        <v>217729</v>
      </c>
      <c r="B583" s="289" t="s">
        <v>667</v>
      </c>
      <c r="C583" s="289" t="s">
        <v>668</v>
      </c>
      <c r="D583" s="289" t="s">
        <v>2049</v>
      </c>
      <c r="E583" s="289" t="s">
        <v>2050</v>
      </c>
      <c r="F583" s="289" t="s">
        <v>2051</v>
      </c>
      <c r="I583" s="289" t="str">
        <f>("0217729")</f>
        <v>0217729</v>
      </c>
    </row>
    <row r="584" spans="1:9">
      <c r="A584" s="290">
        <v>217730</v>
      </c>
      <c r="B584" s="289" t="s">
        <v>667</v>
      </c>
      <c r="C584" s="289" t="s">
        <v>668</v>
      </c>
      <c r="D584" s="289" t="s">
        <v>2052</v>
      </c>
      <c r="E584" s="289" t="s">
        <v>2053</v>
      </c>
      <c r="F584" s="289" t="s">
        <v>2054</v>
      </c>
      <c r="I584" s="289" t="str">
        <f>("0217730")</f>
        <v>0217730</v>
      </c>
    </row>
    <row r="585" spans="1:9">
      <c r="A585" s="290">
        <v>217741</v>
      </c>
      <c r="B585" s="289" t="s">
        <v>667</v>
      </c>
      <c r="C585" s="289" t="s">
        <v>668</v>
      </c>
      <c r="D585" s="289" t="s">
        <v>2055</v>
      </c>
      <c r="E585" s="289" t="s">
        <v>2056</v>
      </c>
      <c r="F585" s="289" t="s">
        <v>2057</v>
      </c>
      <c r="I585" s="289" t="str">
        <f>("0217741")</f>
        <v>0217741</v>
      </c>
    </row>
    <row r="586" spans="1:9">
      <c r="A586" s="290">
        <v>217752</v>
      </c>
      <c r="B586" s="289" t="s">
        <v>667</v>
      </c>
      <c r="C586" s="289" t="s">
        <v>668</v>
      </c>
      <c r="D586" s="289" t="s">
        <v>2058</v>
      </c>
      <c r="E586" s="289" t="s">
        <v>2059</v>
      </c>
      <c r="F586" s="289" t="s">
        <v>2060</v>
      </c>
      <c r="I586" s="289" t="str">
        <f>("0217752")</f>
        <v>0217752</v>
      </c>
    </row>
    <row r="587" spans="1:9">
      <c r="A587" s="290">
        <v>217785</v>
      </c>
      <c r="B587" s="289" t="s">
        <v>667</v>
      </c>
      <c r="C587" s="289" t="s">
        <v>668</v>
      </c>
      <c r="D587" s="289" t="s">
        <v>4702</v>
      </c>
      <c r="E587" s="289" t="s">
        <v>4703</v>
      </c>
      <c r="F587" s="289" t="s">
        <v>2061</v>
      </c>
      <c r="I587" s="289" t="str">
        <f>("0217785")</f>
        <v>0217785</v>
      </c>
    </row>
    <row r="588" spans="1:9">
      <c r="A588" s="290">
        <v>217796</v>
      </c>
      <c r="B588" s="289" t="s">
        <v>667</v>
      </c>
      <c r="C588" s="289" t="s">
        <v>668</v>
      </c>
      <c r="D588" s="289" t="s">
        <v>2062</v>
      </c>
      <c r="E588" s="289" t="s">
        <v>2063</v>
      </c>
      <c r="F588" s="289" t="s">
        <v>2064</v>
      </c>
      <c r="I588" s="289" t="str">
        <f>("0217796")</f>
        <v>0217796</v>
      </c>
    </row>
    <row r="589" spans="1:9">
      <c r="A589" s="290">
        <v>217819</v>
      </c>
      <c r="B589" s="289" t="s">
        <v>667</v>
      </c>
      <c r="C589" s="289" t="s">
        <v>668</v>
      </c>
      <c r="D589" s="289" t="s">
        <v>2065</v>
      </c>
      <c r="E589" s="289" t="s">
        <v>2066</v>
      </c>
      <c r="F589" s="289" t="s">
        <v>2067</v>
      </c>
      <c r="I589" s="289" t="str">
        <f>("0217819")</f>
        <v>0217819</v>
      </c>
    </row>
    <row r="590" spans="1:9">
      <c r="A590" s="290">
        <v>217820</v>
      </c>
      <c r="B590" s="289" t="s">
        <v>667</v>
      </c>
      <c r="C590" s="289" t="s">
        <v>668</v>
      </c>
      <c r="D590" s="289" t="s">
        <v>2068</v>
      </c>
      <c r="E590" s="289" t="s">
        <v>2069</v>
      </c>
      <c r="F590" s="289" t="s">
        <v>4916</v>
      </c>
      <c r="I590" s="289" t="str">
        <f>("0217820")</f>
        <v>0217820</v>
      </c>
    </row>
    <row r="591" spans="1:9">
      <c r="A591" s="290">
        <v>217831</v>
      </c>
      <c r="B591" s="289" t="s">
        <v>667</v>
      </c>
      <c r="C591" s="289" t="s">
        <v>668</v>
      </c>
      <c r="D591" s="289" t="s">
        <v>2070</v>
      </c>
      <c r="E591" s="289" t="s">
        <v>2071</v>
      </c>
      <c r="F591" s="289" t="s">
        <v>2072</v>
      </c>
      <c r="I591" s="289" t="str">
        <f>("0217831")</f>
        <v>0217831</v>
      </c>
    </row>
    <row r="592" spans="1:9">
      <c r="A592" s="290">
        <v>217842</v>
      </c>
      <c r="B592" s="289" t="s">
        <v>667</v>
      </c>
      <c r="C592" s="289" t="s">
        <v>668</v>
      </c>
      <c r="D592" s="289" t="s">
        <v>2073</v>
      </c>
      <c r="E592" s="289" t="s">
        <v>2074</v>
      </c>
      <c r="F592" s="289" t="s">
        <v>2075</v>
      </c>
      <c r="I592" s="289" t="str">
        <f>("0217842")</f>
        <v>0217842</v>
      </c>
    </row>
    <row r="593" spans="1:9">
      <c r="A593" s="290">
        <v>217864</v>
      </c>
      <c r="B593" s="289" t="s">
        <v>667</v>
      </c>
      <c r="C593" s="289" t="s">
        <v>668</v>
      </c>
      <c r="D593" s="289" t="s">
        <v>2076</v>
      </c>
      <c r="E593" s="289" t="s">
        <v>2077</v>
      </c>
      <c r="F593" s="289" t="s">
        <v>2078</v>
      </c>
      <c r="I593" s="289" t="str">
        <f>("0217864")</f>
        <v>0217864</v>
      </c>
    </row>
    <row r="594" spans="1:9">
      <c r="A594" s="290">
        <v>217875</v>
      </c>
      <c r="B594" s="289" t="s">
        <v>667</v>
      </c>
      <c r="C594" s="289" t="s">
        <v>668</v>
      </c>
      <c r="D594" s="289" t="s">
        <v>2079</v>
      </c>
      <c r="E594" s="289" t="s">
        <v>2080</v>
      </c>
      <c r="F594" s="289" t="s">
        <v>2081</v>
      </c>
      <c r="I594" s="289" t="str">
        <f>("0217875")</f>
        <v>0217875</v>
      </c>
    </row>
    <row r="595" spans="1:9">
      <c r="A595" s="290">
        <v>217886</v>
      </c>
      <c r="B595" s="289" t="s">
        <v>667</v>
      </c>
      <c r="C595" s="289" t="s">
        <v>668</v>
      </c>
      <c r="D595" s="289" t="s">
        <v>2082</v>
      </c>
      <c r="E595" s="289" t="s">
        <v>2083</v>
      </c>
      <c r="F595" s="289" t="s">
        <v>2084</v>
      </c>
      <c r="I595" s="289" t="str">
        <f>("0217886")</f>
        <v>0217886</v>
      </c>
    </row>
    <row r="596" spans="1:9">
      <c r="A596" s="290">
        <v>218056</v>
      </c>
      <c r="B596" s="289" t="s">
        <v>630</v>
      </c>
      <c r="C596" s="289" t="s">
        <v>1041</v>
      </c>
      <c r="D596" s="289" t="s">
        <v>2145</v>
      </c>
      <c r="E596" s="289" t="s">
        <v>2146</v>
      </c>
      <c r="F596" s="289" t="s">
        <v>2147</v>
      </c>
      <c r="I596" s="289" t="str">
        <f>("0218056")</f>
        <v>0218056</v>
      </c>
    </row>
    <row r="597" spans="1:9">
      <c r="A597" s="290">
        <v>218528</v>
      </c>
      <c r="B597" s="289" t="s">
        <v>630</v>
      </c>
      <c r="C597" s="289" t="s">
        <v>1041</v>
      </c>
      <c r="D597" s="289" t="s">
        <v>2293</v>
      </c>
      <c r="E597" s="289" t="s">
        <v>2294</v>
      </c>
      <c r="F597" s="289" t="s">
        <v>2295</v>
      </c>
      <c r="I597" s="289" t="str">
        <f>("0218528")</f>
        <v>0218528</v>
      </c>
    </row>
    <row r="598" spans="1:9">
      <c r="A598" s="290">
        <v>231152</v>
      </c>
      <c r="B598" s="289" t="s">
        <v>667</v>
      </c>
      <c r="C598" s="289" t="s">
        <v>668</v>
      </c>
      <c r="D598" s="289" t="s">
        <v>2528</v>
      </c>
      <c r="E598" s="289" t="s">
        <v>2529</v>
      </c>
      <c r="F598" s="289" t="s">
        <v>2530</v>
      </c>
      <c r="I598" s="289" t="str">
        <f>("0231152")</f>
        <v>0231152</v>
      </c>
    </row>
    <row r="599" spans="1:9">
      <c r="A599" s="290">
        <v>232715</v>
      </c>
      <c r="B599" s="289" t="s">
        <v>667</v>
      </c>
      <c r="C599" s="289" t="s">
        <v>668</v>
      </c>
      <c r="D599" s="289" t="s">
        <v>2535</v>
      </c>
      <c r="E599" s="289" t="s">
        <v>2536</v>
      </c>
      <c r="F599" s="289" t="s">
        <v>2537</v>
      </c>
      <c r="I599" s="289" t="str">
        <f>("0232715")</f>
        <v>0232715</v>
      </c>
    </row>
    <row r="600" spans="1:9">
      <c r="A600" s="290">
        <v>249522</v>
      </c>
      <c r="B600" s="289" t="s">
        <v>29</v>
      </c>
      <c r="C600" s="289" t="s">
        <v>212</v>
      </c>
      <c r="D600" s="289" t="s">
        <v>2549</v>
      </c>
      <c r="E600" s="289" t="s">
        <v>2550</v>
      </c>
      <c r="F600" s="289" t="s">
        <v>2551</v>
      </c>
      <c r="I600" s="289" t="str">
        <f>("0249522")</f>
        <v>0249522</v>
      </c>
    </row>
    <row r="601" spans="1:9">
      <c r="A601" s="290">
        <v>263539</v>
      </c>
      <c r="B601" s="289" t="s">
        <v>667</v>
      </c>
      <c r="C601" s="289" t="s">
        <v>668</v>
      </c>
      <c r="D601" s="289" t="s">
        <v>2552</v>
      </c>
      <c r="E601" s="289" t="s">
        <v>2553</v>
      </c>
      <c r="F601" s="289" t="s">
        <v>2554</v>
      </c>
      <c r="I601" s="289" t="str">
        <f>("0263539")</f>
        <v>0263539</v>
      </c>
    </row>
    <row r="602" spans="1:9">
      <c r="A602" s="290">
        <v>279266</v>
      </c>
      <c r="B602" s="289" t="s">
        <v>667</v>
      </c>
      <c r="C602" s="289" t="s">
        <v>668</v>
      </c>
      <c r="D602" s="289" t="s">
        <v>2559</v>
      </c>
      <c r="E602" s="289" t="s">
        <v>2560</v>
      </c>
      <c r="F602" s="289" t="s">
        <v>2561</v>
      </c>
      <c r="I602" s="289" t="str">
        <f>("0279266")</f>
        <v>0279266</v>
      </c>
    </row>
    <row r="603" spans="1:9">
      <c r="A603" s="290">
        <v>289403</v>
      </c>
      <c r="B603" s="289" t="s">
        <v>1537</v>
      </c>
      <c r="C603" s="289" t="s">
        <v>1543</v>
      </c>
      <c r="D603" s="289" t="s">
        <v>2566</v>
      </c>
      <c r="E603" s="289" t="s">
        <v>2567</v>
      </c>
      <c r="F603" s="289" t="s">
        <v>2568</v>
      </c>
      <c r="I603" s="289" t="str">
        <f>("0289403")</f>
        <v>0289403</v>
      </c>
    </row>
    <row r="604" spans="1:9">
      <c r="A604" s="290">
        <v>292733</v>
      </c>
      <c r="B604" s="289" t="s">
        <v>1537</v>
      </c>
      <c r="C604" s="289" t="s">
        <v>1543</v>
      </c>
      <c r="D604" s="289" t="s">
        <v>2573</v>
      </c>
      <c r="E604" s="289" t="s">
        <v>2574</v>
      </c>
      <c r="F604" s="289" t="s">
        <v>2575</v>
      </c>
      <c r="I604" s="289" t="str">
        <f>("0292733")</f>
        <v>0292733</v>
      </c>
    </row>
    <row r="605" spans="1:9">
      <c r="A605" s="290">
        <v>300261</v>
      </c>
      <c r="B605" s="289" t="s">
        <v>34</v>
      </c>
      <c r="C605" s="289" t="s">
        <v>35</v>
      </c>
      <c r="D605" s="289" t="s">
        <v>2576</v>
      </c>
      <c r="E605" s="289" t="s">
        <v>2577</v>
      </c>
      <c r="F605" s="289" t="s">
        <v>2578</v>
      </c>
      <c r="I605" s="289" t="str">
        <f>("0300261")</f>
        <v>0300261</v>
      </c>
    </row>
    <row r="606" spans="1:9">
      <c r="A606" s="290">
        <v>300306</v>
      </c>
      <c r="B606" s="289" t="s">
        <v>34</v>
      </c>
      <c r="C606" s="289" t="s">
        <v>35</v>
      </c>
      <c r="D606" s="289" t="s">
        <v>4938</v>
      </c>
      <c r="E606" s="289" t="s">
        <v>4939</v>
      </c>
      <c r="F606" s="289" t="s">
        <v>4940</v>
      </c>
      <c r="I606" s="289" t="str">
        <f>("0300306")</f>
        <v>0300306</v>
      </c>
    </row>
    <row r="607" spans="1:9">
      <c r="A607" s="290">
        <v>300351</v>
      </c>
      <c r="B607" s="289" t="s">
        <v>34</v>
      </c>
      <c r="C607" s="289" t="s">
        <v>35</v>
      </c>
      <c r="D607" s="289" t="s">
        <v>2579</v>
      </c>
      <c r="E607" s="289" t="s">
        <v>2580</v>
      </c>
      <c r="F607" s="289" t="s">
        <v>2581</v>
      </c>
      <c r="I607" s="289" t="str">
        <f>("0300351")</f>
        <v>0300351</v>
      </c>
    </row>
    <row r="608" spans="1:9">
      <c r="A608" s="290">
        <v>300441</v>
      </c>
      <c r="B608" s="289" t="s">
        <v>34</v>
      </c>
      <c r="C608" s="289" t="s">
        <v>35</v>
      </c>
      <c r="D608" s="289" t="s">
        <v>2582</v>
      </c>
      <c r="E608" s="289" t="s">
        <v>2583</v>
      </c>
      <c r="F608" s="289" t="s">
        <v>2584</v>
      </c>
      <c r="I608" s="289" t="str">
        <f>("0300441")</f>
        <v>0300441</v>
      </c>
    </row>
    <row r="609" spans="1:9">
      <c r="A609" s="290">
        <v>300575</v>
      </c>
      <c r="B609" s="289" t="s">
        <v>34</v>
      </c>
      <c r="C609" s="289" t="s">
        <v>35</v>
      </c>
      <c r="D609" s="289" t="s">
        <v>4941</v>
      </c>
      <c r="E609" s="289" t="s">
        <v>4942</v>
      </c>
      <c r="F609" s="289" t="s">
        <v>4943</v>
      </c>
      <c r="I609" s="289" t="str">
        <f>("0300575")</f>
        <v>0300575</v>
      </c>
    </row>
    <row r="610" spans="1:9">
      <c r="A610" s="290">
        <v>300610</v>
      </c>
      <c r="B610" s="289" t="s">
        <v>34</v>
      </c>
      <c r="C610" s="289" t="s">
        <v>35</v>
      </c>
      <c r="D610" s="289" t="s">
        <v>2585</v>
      </c>
      <c r="E610" s="289" t="s">
        <v>2586</v>
      </c>
      <c r="F610" s="289" t="s">
        <v>2587</v>
      </c>
      <c r="I610" s="289" t="str">
        <f>("0300610")</f>
        <v>0300610</v>
      </c>
    </row>
    <row r="611" spans="1:9">
      <c r="A611" s="290">
        <v>300643</v>
      </c>
      <c r="B611" s="289" t="s">
        <v>34</v>
      </c>
      <c r="C611" s="289" t="s">
        <v>35</v>
      </c>
      <c r="D611" s="289" t="s">
        <v>2588</v>
      </c>
      <c r="E611" s="289" t="s">
        <v>2589</v>
      </c>
      <c r="F611" s="289" t="s">
        <v>2590</v>
      </c>
      <c r="I611" s="289" t="str">
        <f>("0300643")</f>
        <v>0300643</v>
      </c>
    </row>
    <row r="612" spans="1:9">
      <c r="A612" s="290">
        <v>300676</v>
      </c>
      <c r="B612" s="289" t="s">
        <v>1537</v>
      </c>
      <c r="C612" s="289" t="s">
        <v>1543</v>
      </c>
      <c r="D612" s="289" t="s">
        <v>2591</v>
      </c>
      <c r="E612" s="289" t="s">
        <v>2592</v>
      </c>
      <c r="F612" s="289" t="s">
        <v>2593</v>
      </c>
      <c r="I612" s="289" t="str">
        <f>("0300676")</f>
        <v>0300676</v>
      </c>
    </row>
    <row r="613" spans="1:9">
      <c r="A613" s="290">
        <v>300687</v>
      </c>
      <c r="B613" s="289" t="s">
        <v>1537</v>
      </c>
      <c r="C613" s="289" t="s">
        <v>5258</v>
      </c>
      <c r="D613" s="289" t="s">
        <v>2594</v>
      </c>
      <c r="E613" s="289" t="s">
        <v>2595</v>
      </c>
      <c r="F613" s="289" t="s">
        <v>2596</v>
      </c>
      <c r="I613" s="289" t="str">
        <f>("0300687")</f>
        <v>0300687</v>
      </c>
    </row>
    <row r="614" spans="1:9">
      <c r="A614" s="290">
        <v>300698</v>
      </c>
      <c r="B614" s="289" t="s">
        <v>630</v>
      </c>
      <c r="C614" s="289" t="s">
        <v>30</v>
      </c>
      <c r="D614" s="289" t="s">
        <v>2597</v>
      </c>
      <c r="E614" s="289" t="s">
        <v>2598</v>
      </c>
      <c r="F614" s="289" t="s">
        <v>2599</v>
      </c>
      <c r="I614" s="289" t="str">
        <f>("0300698")</f>
        <v>0300698</v>
      </c>
    </row>
    <row r="615" spans="1:9">
      <c r="A615" s="290">
        <v>300700</v>
      </c>
      <c r="B615" s="289" t="s">
        <v>630</v>
      </c>
      <c r="C615" s="289" t="s">
        <v>30</v>
      </c>
      <c r="D615" s="289" t="s">
        <v>2600</v>
      </c>
      <c r="E615" s="289" t="s">
        <v>2601</v>
      </c>
      <c r="F615" s="289" t="s">
        <v>2602</v>
      </c>
      <c r="I615" s="289" t="str">
        <f>("0300700")</f>
        <v>0300700</v>
      </c>
    </row>
    <row r="616" spans="1:9">
      <c r="A616" s="290">
        <v>300711</v>
      </c>
      <c r="B616" s="289" t="s">
        <v>630</v>
      </c>
      <c r="C616" s="289" t="s">
        <v>3413</v>
      </c>
      <c r="D616" s="289" t="s">
        <v>2603</v>
      </c>
      <c r="E616" s="289" t="s">
        <v>2604</v>
      </c>
      <c r="F616" s="289" t="s">
        <v>2605</v>
      </c>
      <c r="I616" s="289" t="str">
        <f>("0300711")</f>
        <v>0300711</v>
      </c>
    </row>
    <row r="617" spans="1:9">
      <c r="A617" s="290">
        <v>301149</v>
      </c>
      <c r="B617" s="289" t="s">
        <v>34</v>
      </c>
      <c r="C617" s="289" t="s">
        <v>35</v>
      </c>
      <c r="D617" s="289" t="s">
        <v>2606</v>
      </c>
      <c r="E617" s="289" t="s">
        <v>2607</v>
      </c>
      <c r="F617" s="289" t="s">
        <v>2608</v>
      </c>
      <c r="I617" s="289" t="str">
        <f>("0301149")</f>
        <v>0301149</v>
      </c>
    </row>
    <row r="618" spans="1:9">
      <c r="A618" s="290">
        <v>301239</v>
      </c>
      <c r="B618" s="289" t="s">
        <v>34</v>
      </c>
      <c r="C618" s="289" t="s">
        <v>35</v>
      </c>
      <c r="D618" s="289" t="s">
        <v>2609</v>
      </c>
      <c r="E618" s="289" t="s">
        <v>2609</v>
      </c>
      <c r="F618" s="289" t="s">
        <v>2610</v>
      </c>
      <c r="I618" s="289" t="str">
        <f>("0301239")</f>
        <v>0301239</v>
      </c>
    </row>
    <row r="619" spans="1:9">
      <c r="A619" s="290">
        <v>301329</v>
      </c>
      <c r="B619" s="289" t="s">
        <v>34</v>
      </c>
      <c r="C619" s="289" t="s">
        <v>35</v>
      </c>
      <c r="D619" s="289" t="s">
        <v>2611</v>
      </c>
      <c r="E619" s="289" t="s">
        <v>2612</v>
      </c>
      <c r="F619" s="289" t="s">
        <v>2613</v>
      </c>
      <c r="I619" s="289" t="str">
        <f>("0301329")</f>
        <v>0301329</v>
      </c>
    </row>
    <row r="620" spans="1:9">
      <c r="A620" s="290">
        <v>301363</v>
      </c>
      <c r="B620" s="289" t="s">
        <v>34</v>
      </c>
      <c r="C620" s="289" t="s">
        <v>35</v>
      </c>
      <c r="D620" s="289" t="s">
        <v>2614</v>
      </c>
      <c r="E620" s="289" t="s">
        <v>2615</v>
      </c>
      <c r="F620" s="289" t="s">
        <v>2616</v>
      </c>
      <c r="I620" s="289" t="str">
        <f>("0301363")</f>
        <v>0301363</v>
      </c>
    </row>
    <row r="621" spans="1:9">
      <c r="A621" s="290">
        <v>304108</v>
      </c>
      <c r="B621" s="289" t="s">
        <v>34</v>
      </c>
      <c r="C621" s="289" t="s">
        <v>35</v>
      </c>
      <c r="D621" s="289" t="s">
        <v>2617</v>
      </c>
      <c r="E621" s="289" t="s">
        <v>2618</v>
      </c>
      <c r="F621" s="289" t="s">
        <v>2619</v>
      </c>
      <c r="I621" s="289" t="str">
        <f>("0304108")</f>
        <v>0304108</v>
      </c>
    </row>
    <row r="622" spans="1:9">
      <c r="A622" s="290">
        <v>304760</v>
      </c>
      <c r="B622" s="289" t="s">
        <v>34</v>
      </c>
      <c r="C622" s="289" t="s">
        <v>35</v>
      </c>
      <c r="D622" s="289" t="s">
        <v>5263</v>
      </c>
      <c r="E622" s="289" t="s">
        <v>2620</v>
      </c>
      <c r="F622" s="289" t="s">
        <v>5264</v>
      </c>
      <c r="I622" s="289" t="str">
        <f>("0304760")</f>
        <v>0304760</v>
      </c>
    </row>
    <row r="623" spans="1:9">
      <c r="A623" s="290">
        <v>305299</v>
      </c>
      <c r="B623" s="289" t="s">
        <v>34</v>
      </c>
      <c r="C623" s="289" t="s">
        <v>35</v>
      </c>
      <c r="D623" s="289" t="s">
        <v>2621</v>
      </c>
      <c r="E623" s="289" t="s">
        <v>2622</v>
      </c>
      <c r="F623" s="289" t="s">
        <v>2623</v>
      </c>
      <c r="I623" s="289" t="str">
        <f>("0305299")</f>
        <v>0305299</v>
      </c>
    </row>
    <row r="624" spans="1:9">
      <c r="A624" s="290">
        <v>305884</v>
      </c>
      <c r="B624" s="289" t="s">
        <v>667</v>
      </c>
      <c r="C624" s="289" t="s">
        <v>668</v>
      </c>
      <c r="D624" s="289" t="s">
        <v>2660</v>
      </c>
      <c r="E624" s="289" t="s">
        <v>2661</v>
      </c>
      <c r="F624" s="289" t="s">
        <v>2662</v>
      </c>
      <c r="I624" s="289" t="str">
        <f>("0305884")</f>
        <v>0305884</v>
      </c>
    </row>
    <row r="625" spans="1:9">
      <c r="A625" s="290">
        <v>305895</v>
      </c>
      <c r="B625" s="289" t="s">
        <v>667</v>
      </c>
      <c r="C625" s="289" t="s">
        <v>668</v>
      </c>
      <c r="D625" s="289" t="s">
        <v>2663</v>
      </c>
      <c r="E625" s="289" t="s">
        <v>2664</v>
      </c>
      <c r="F625" s="289" t="s">
        <v>2665</v>
      </c>
      <c r="I625" s="289" t="str">
        <f>("0305895")</f>
        <v>0305895</v>
      </c>
    </row>
    <row r="626" spans="1:9">
      <c r="A626" s="290">
        <v>305930</v>
      </c>
      <c r="B626" s="289" t="s">
        <v>667</v>
      </c>
      <c r="C626" s="289" t="s">
        <v>668</v>
      </c>
      <c r="D626" s="289" t="s">
        <v>2666</v>
      </c>
      <c r="E626" s="289" t="s">
        <v>2667</v>
      </c>
      <c r="F626" s="289" t="s">
        <v>5265</v>
      </c>
      <c r="I626" s="289" t="str">
        <f>("0305930")</f>
        <v>0305930</v>
      </c>
    </row>
    <row r="627" spans="1:9">
      <c r="A627" s="290">
        <v>306144</v>
      </c>
      <c r="B627" s="289" t="s">
        <v>667</v>
      </c>
      <c r="C627" s="289" t="s">
        <v>668</v>
      </c>
      <c r="D627" s="289" t="s">
        <v>2668</v>
      </c>
      <c r="E627" s="289" t="s">
        <v>2669</v>
      </c>
      <c r="F627" s="289" t="s">
        <v>2670</v>
      </c>
      <c r="I627" s="289" t="str">
        <f>("0306144")</f>
        <v>0306144</v>
      </c>
    </row>
    <row r="628" spans="1:9">
      <c r="A628" s="290">
        <v>306188</v>
      </c>
      <c r="B628" s="289" t="s">
        <v>29</v>
      </c>
      <c r="C628" s="289" t="s">
        <v>212</v>
      </c>
      <c r="D628" s="289" t="s">
        <v>2671</v>
      </c>
      <c r="E628" s="289" t="s">
        <v>2672</v>
      </c>
      <c r="F628" s="289" t="s">
        <v>2673</v>
      </c>
      <c r="I628" s="289" t="str">
        <f>("0306188")</f>
        <v>0306188</v>
      </c>
    </row>
    <row r="629" spans="1:9">
      <c r="A629" s="290">
        <v>306199</v>
      </c>
      <c r="B629" s="289" t="s">
        <v>29</v>
      </c>
      <c r="C629" s="289" t="s">
        <v>212</v>
      </c>
      <c r="D629" s="289" t="s">
        <v>2674</v>
      </c>
      <c r="E629" s="289" t="s">
        <v>2675</v>
      </c>
      <c r="F629" s="289" t="s">
        <v>2676</v>
      </c>
      <c r="I629" s="289" t="str">
        <f>("0306199")</f>
        <v>0306199</v>
      </c>
    </row>
    <row r="630" spans="1:9">
      <c r="A630" s="290">
        <v>306234</v>
      </c>
      <c r="B630" s="289" t="s">
        <v>667</v>
      </c>
      <c r="C630" s="289" t="s">
        <v>668</v>
      </c>
      <c r="D630" s="289" t="s">
        <v>2681</v>
      </c>
      <c r="E630" s="289" t="s">
        <v>2682</v>
      </c>
      <c r="F630" s="289" t="s">
        <v>2683</v>
      </c>
      <c r="I630" s="289" t="str">
        <f>("0306234")</f>
        <v>0306234</v>
      </c>
    </row>
    <row r="631" spans="1:9">
      <c r="A631" s="290">
        <v>306245</v>
      </c>
      <c r="B631" s="289" t="s">
        <v>667</v>
      </c>
      <c r="C631" s="289" t="s">
        <v>668</v>
      </c>
      <c r="D631" s="289" t="s">
        <v>2684</v>
      </c>
      <c r="E631" s="289" t="s">
        <v>2685</v>
      </c>
      <c r="F631" s="289" t="s">
        <v>2686</v>
      </c>
      <c r="I631" s="289" t="str">
        <f>("0306245")</f>
        <v>0306245</v>
      </c>
    </row>
    <row r="632" spans="1:9">
      <c r="A632" s="290">
        <v>309079</v>
      </c>
      <c r="B632" s="289" t="s">
        <v>667</v>
      </c>
      <c r="C632" s="289" t="s">
        <v>668</v>
      </c>
      <c r="D632" s="289" t="s">
        <v>2699</v>
      </c>
      <c r="E632" s="289" t="s">
        <v>2700</v>
      </c>
      <c r="F632" s="289" t="s">
        <v>2701</v>
      </c>
      <c r="I632" s="289" t="str">
        <f>("0309079")</f>
        <v>0309079</v>
      </c>
    </row>
    <row r="633" spans="1:9">
      <c r="A633" s="290">
        <v>310914</v>
      </c>
      <c r="B633" s="289" t="s">
        <v>630</v>
      </c>
      <c r="C633" s="289" t="s">
        <v>30</v>
      </c>
      <c r="D633" s="289" t="s">
        <v>2702</v>
      </c>
      <c r="E633" s="289" t="s">
        <v>2702</v>
      </c>
      <c r="F633" s="289" t="s">
        <v>4707</v>
      </c>
      <c r="I633" s="289" t="str">
        <f>("0310914")</f>
        <v>0310914</v>
      </c>
    </row>
    <row r="634" spans="1:9">
      <c r="A634" s="290">
        <v>316987</v>
      </c>
      <c r="B634" s="289" t="s">
        <v>34</v>
      </c>
      <c r="C634" s="289" t="s">
        <v>35</v>
      </c>
      <c r="D634" s="289" t="s">
        <v>2703</v>
      </c>
      <c r="E634" s="289" t="s">
        <v>2704</v>
      </c>
      <c r="F634" s="289" t="s">
        <v>2705</v>
      </c>
      <c r="I634" s="289" t="str">
        <f>("0316987")</f>
        <v>0316987</v>
      </c>
    </row>
    <row r="635" spans="1:9">
      <c r="A635" s="290">
        <v>316998</v>
      </c>
      <c r="B635" s="289" t="s">
        <v>34</v>
      </c>
      <c r="C635" s="289" t="s">
        <v>35</v>
      </c>
      <c r="D635" s="289" t="s">
        <v>2706</v>
      </c>
      <c r="E635" s="289" t="s">
        <v>2707</v>
      </c>
      <c r="F635" s="289" t="s">
        <v>2708</v>
      </c>
      <c r="I635" s="289" t="str">
        <f>("0316998")</f>
        <v>0316998</v>
      </c>
    </row>
    <row r="636" spans="1:9">
      <c r="A636" s="290">
        <v>317056</v>
      </c>
      <c r="B636" s="289" t="s">
        <v>34</v>
      </c>
      <c r="C636" s="289" t="s">
        <v>35</v>
      </c>
      <c r="D636" s="289" t="s">
        <v>2709</v>
      </c>
      <c r="E636" s="289" t="s">
        <v>2710</v>
      </c>
      <c r="F636" s="289" t="s">
        <v>2711</v>
      </c>
      <c r="I636" s="289" t="str">
        <f>("0317056")</f>
        <v>0317056</v>
      </c>
    </row>
    <row r="637" spans="1:9">
      <c r="A637" s="290">
        <v>317157</v>
      </c>
      <c r="B637" s="289" t="s">
        <v>34</v>
      </c>
      <c r="C637" s="289" t="s">
        <v>35</v>
      </c>
      <c r="D637" s="289" t="s">
        <v>2712</v>
      </c>
      <c r="E637" s="289" t="s">
        <v>2713</v>
      </c>
      <c r="F637" s="289" t="s">
        <v>2714</v>
      </c>
      <c r="I637" s="289" t="str">
        <f>("0317157")</f>
        <v>0317157</v>
      </c>
    </row>
    <row r="638" spans="1:9">
      <c r="A638" s="290">
        <v>317180</v>
      </c>
      <c r="B638" s="289" t="s">
        <v>34</v>
      </c>
      <c r="C638" s="289" t="s">
        <v>35</v>
      </c>
      <c r="D638" s="289" t="s">
        <v>5266</v>
      </c>
      <c r="E638" s="289" t="s">
        <v>5267</v>
      </c>
      <c r="F638" s="289" t="s">
        <v>5268</v>
      </c>
      <c r="I638" s="289" t="str">
        <f>("0317180")</f>
        <v>0317180</v>
      </c>
    </row>
    <row r="639" spans="1:9">
      <c r="A639" s="290">
        <v>317236</v>
      </c>
      <c r="B639" s="289" t="s">
        <v>34</v>
      </c>
      <c r="C639" s="289" t="s">
        <v>35</v>
      </c>
      <c r="D639" s="289" t="s">
        <v>2715</v>
      </c>
      <c r="E639" s="289" t="s">
        <v>2716</v>
      </c>
      <c r="F639" s="289" t="s">
        <v>2717</v>
      </c>
      <c r="I639" s="289" t="str">
        <f>("0317236")</f>
        <v>0317236</v>
      </c>
    </row>
    <row r="640" spans="1:9">
      <c r="A640" s="290">
        <v>317247</v>
      </c>
      <c r="B640" s="289" t="s">
        <v>34</v>
      </c>
      <c r="C640" s="289" t="s">
        <v>35</v>
      </c>
      <c r="D640" s="289" t="s">
        <v>2718</v>
      </c>
      <c r="E640" s="289" t="s">
        <v>2719</v>
      </c>
      <c r="F640" s="289" t="s">
        <v>2720</v>
      </c>
      <c r="I640" s="289" t="str">
        <f>("0317247")</f>
        <v>0317247</v>
      </c>
    </row>
    <row r="641" spans="1:9">
      <c r="A641" s="290">
        <v>317315</v>
      </c>
      <c r="B641" s="289" t="s">
        <v>34</v>
      </c>
      <c r="C641" s="289" t="s">
        <v>35</v>
      </c>
      <c r="D641" s="289" t="s">
        <v>655</v>
      </c>
      <c r="E641" s="289" t="s">
        <v>656</v>
      </c>
      <c r="F641" s="289" t="s">
        <v>2721</v>
      </c>
      <c r="I641" s="289" t="str">
        <f>("0317315")</f>
        <v>0317315</v>
      </c>
    </row>
    <row r="642" spans="1:9">
      <c r="A642" s="290">
        <v>319700</v>
      </c>
      <c r="B642" s="289" t="s">
        <v>667</v>
      </c>
      <c r="C642" s="289" t="s">
        <v>668</v>
      </c>
      <c r="D642" s="289" t="s">
        <v>4708</v>
      </c>
      <c r="E642" s="289" t="s">
        <v>4709</v>
      </c>
      <c r="F642" s="289" t="s">
        <v>4710</v>
      </c>
      <c r="I642" s="289" t="str">
        <f>("0319700")</f>
        <v>0319700</v>
      </c>
    </row>
    <row r="643" spans="1:9">
      <c r="A643" s="290">
        <v>319733</v>
      </c>
      <c r="B643" s="289" t="s">
        <v>667</v>
      </c>
      <c r="C643" s="289" t="s">
        <v>668</v>
      </c>
      <c r="D643" s="289" t="s">
        <v>2724</v>
      </c>
      <c r="E643" s="289" t="s">
        <v>2725</v>
      </c>
      <c r="F643" s="289" t="s">
        <v>2726</v>
      </c>
      <c r="I643" s="289" t="str">
        <f>("0319733")</f>
        <v>0319733</v>
      </c>
    </row>
    <row r="644" spans="1:9">
      <c r="A644" s="290">
        <v>319744</v>
      </c>
      <c r="B644" s="289" t="s">
        <v>667</v>
      </c>
      <c r="C644" s="289" t="s">
        <v>668</v>
      </c>
      <c r="D644" s="289" t="s">
        <v>2727</v>
      </c>
      <c r="E644" s="289" t="s">
        <v>2727</v>
      </c>
      <c r="F644" s="289" t="s">
        <v>2728</v>
      </c>
      <c r="I644" s="289" t="str">
        <f>("0319744")</f>
        <v>0319744</v>
      </c>
    </row>
    <row r="645" spans="1:9">
      <c r="A645" s="290">
        <v>322401</v>
      </c>
      <c r="B645" s="289" t="s">
        <v>29</v>
      </c>
      <c r="C645" s="289" t="s">
        <v>212</v>
      </c>
      <c r="D645" s="289" t="s">
        <v>2729</v>
      </c>
      <c r="E645" s="289" t="s">
        <v>2730</v>
      </c>
      <c r="F645" s="289" t="s">
        <v>2731</v>
      </c>
      <c r="I645" s="289" t="str">
        <f>("0322401")</f>
        <v>0322401</v>
      </c>
    </row>
    <row r="646" spans="1:9">
      <c r="A646" s="290">
        <v>323525</v>
      </c>
      <c r="B646" s="289" t="s">
        <v>667</v>
      </c>
      <c r="C646" s="289" t="s">
        <v>668</v>
      </c>
      <c r="D646" s="289" t="s">
        <v>2744</v>
      </c>
      <c r="E646" s="289" t="s">
        <v>2745</v>
      </c>
      <c r="F646" s="289" t="s">
        <v>2746</v>
      </c>
      <c r="I646" s="289" t="str">
        <f>("0323525")</f>
        <v>0323525</v>
      </c>
    </row>
    <row r="647" spans="1:9">
      <c r="A647" s="290">
        <v>325022</v>
      </c>
      <c r="B647" s="289" t="s">
        <v>1537</v>
      </c>
      <c r="C647" s="289" t="s">
        <v>1543</v>
      </c>
      <c r="D647" s="289" t="s">
        <v>2775</v>
      </c>
      <c r="E647" s="289" t="s">
        <v>2776</v>
      </c>
      <c r="F647" s="289" t="s">
        <v>2777</v>
      </c>
      <c r="I647" s="289" t="str">
        <f>("0325022")</f>
        <v>0325022</v>
      </c>
    </row>
    <row r="648" spans="1:9">
      <c r="A648" s="290">
        <v>326214</v>
      </c>
      <c r="B648" s="289" t="s">
        <v>29</v>
      </c>
      <c r="C648" s="289" t="s">
        <v>30</v>
      </c>
      <c r="D648" s="289" t="s">
        <v>4711</v>
      </c>
      <c r="E648" s="289" t="s">
        <v>4712</v>
      </c>
      <c r="F648" s="289" t="s">
        <v>4713</v>
      </c>
      <c r="I648" s="289" t="str">
        <f>("0326214")</f>
        <v>0326214</v>
      </c>
    </row>
    <row r="649" spans="1:9">
      <c r="A649" s="290">
        <v>326225</v>
      </c>
      <c r="B649" s="289" t="s">
        <v>34</v>
      </c>
      <c r="C649" s="289" t="s">
        <v>35</v>
      </c>
      <c r="D649" s="289" t="s">
        <v>2778</v>
      </c>
      <c r="E649" s="289" t="s">
        <v>2779</v>
      </c>
      <c r="F649" s="289" t="s">
        <v>2780</v>
      </c>
      <c r="I649" s="289" t="str">
        <f>("0326225")</f>
        <v>0326225</v>
      </c>
    </row>
    <row r="650" spans="1:9">
      <c r="A650" s="290">
        <v>326315</v>
      </c>
      <c r="B650" s="289" t="s">
        <v>34</v>
      </c>
      <c r="C650" s="289" t="s">
        <v>35</v>
      </c>
      <c r="D650" s="289" t="s">
        <v>2781</v>
      </c>
      <c r="E650" s="289" t="s">
        <v>2781</v>
      </c>
      <c r="F650" s="289" t="s">
        <v>2782</v>
      </c>
      <c r="I650" s="289" t="str">
        <f>("0326315")</f>
        <v>0326315</v>
      </c>
    </row>
    <row r="651" spans="1:9">
      <c r="A651" s="290">
        <v>326371</v>
      </c>
      <c r="B651" s="289" t="s">
        <v>34</v>
      </c>
      <c r="C651" s="289" t="s">
        <v>35</v>
      </c>
      <c r="D651" s="289" t="s">
        <v>2783</v>
      </c>
      <c r="E651" s="289" t="s">
        <v>2784</v>
      </c>
      <c r="F651" s="289" t="s">
        <v>2785</v>
      </c>
      <c r="I651" s="289" t="str">
        <f>("0326371")</f>
        <v>0326371</v>
      </c>
    </row>
    <row r="652" spans="1:9">
      <c r="A652" s="290">
        <v>326472</v>
      </c>
      <c r="B652" s="289" t="s">
        <v>34</v>
      </c>
      <c r="C652" s="289" t="s">
        <v>35</v>
      </c>
      <c r="D652" s="289" t="s">
        <v>2786</v>
      </c>
      <c r="E652" s="289" t="s">
        <v>2787</v>
      </c>
      <c r="F652" s="289" t="s">
        <v>2788</v>
      </c>
      <c r="I652" s="289" t="str">
        <f>("0326472")</f>
        <v>0326472</v>
      </c>
    </row>
    <row r="653" spans="1:9">
      <c r="A653" s="290">
        <v>326483</v>
      </c>
      <c r="B653" s="289" t="s">
        <v>34</v>
      </c>
      <c r="C653" s="289" t="s">
        <v>35</v>
      </c>
      <c r="D653" s="289" t="s">
        <v>1596</v>
      </c>
      <c r="E653" s="289" t="s">
        <v>1597</v>
      </c>
      <c r="F653" s="289" t="s">
        <v>1598</v>
      </c>
      <c r="I653" s="289" t="str">
        <f>("0326483")</f>
        <v>0326483</v>
      </c>
    </row>
    <row r="654" spans="1:9">
      <c r="A654" s="290">
        <v>326584</v>
      </c>
      <c r="B654" s="289" t="s">
        <v>34</v>
      </c>
      <c r="C654" s="289" t="s">
        <v>35</v>
      </c>
      <c r="D654" s="289" t="s">
        <v>1663</v>
      </c>
      <c r="E654" s="289" t="s">
        <v>1664</v>
      </c>
      <c r="F654" s="289" t="s">
        <v>1665</v>
      </c>
      <c r="I654" s="289" t="str">
        <f>("0326584")</f>
        <v>0326584</v>
      </c>
    </row>
    <row r="655" spans="1:9">
      <c r="A655" s="290">
        <v>327956</v>
      </c>
      <c r="B655" s="289" t="s">
        <v>630</v>
      </c>
      <c r="C655" s="289" t="s">
        <v>30</v>
      </c>
      <c r="D655" s="289" t="s">
        <v>2789</v>
      </c>
      <c r="E655" s="289" t="s">
        <v>2790</v>
      </c>
      <c r="F655" s="289" t="s">
        <v>4948</v>
      </c>
      <c r="I655" s="289" t="str">
        <f>("0327956")</f>
        <v>0327956</v>
      </c>
    </row>
    <row r="656" spans="1:9">
      <c r="A656" s="290">
        <v>327967</v>
      </c>
      <c r="B656" s="289" t="s">
        <v>1537</v>
      </c>
      <c r="C656" s="289" t="s">
        <v>1574</v>
      </c>
      <c r="D656" s="289" t="s">
        <v>2791</v>
      </c>
      <c r="E656" s="289" t="s">
        <v>2792</v>
      </c>
      <c r="F656" s="289" t="s">
        <v>2793</v>
      </c>
      <c r="I656" s="289" t="str">
        <f>("0327967")</f>
        <v>0327967</v>
      </c>
    </row>
    <row r="657" spans="1:9">
      <c r="A657" s="290">
        <v>330949</v>
      </c>
      <c r="B657" s="289" t="s">
        <v>34</v>
      </c>
      <c r="C657" s="289" t="s">
        <v>35</v>
      </c>
      <c r="D657" s="289" t="s">
        <v>2794</v>
      </c>
      <c r="E657" s="289" t="s">
        <v>2794</v>
      </c>
      <c r="F657" s="289" t="s">
        <v>2795</v>
      </c>
      <c r="I657" s="289" t="str">
        <f>("0330949")</f>
        <v>0330949</v>
      </c>
    </row>
    <row r="658" spans="1:9">
      <c r="A658" s="290">
        <v>330950</v>
      </c>
      <c r="B658" s="289" t="s">
        <v>34</v>
      </c>
      <c r="C658" s="289" t="s">
        <v>35</v>
      </c>
      <c r="D658" s="289" t="s">
        <v>2796</v>
      </c>
      <c r="E658" s="289" t="s">
        <v>2797</v>
      </c>
      <c r="F658" s="289" t="s">
        <v>2798</v>
      </c>
      <c r="I658" s="289" t="str">
        <f>("0330950")</f>
        <v>0330950</v>
      </c>
    </row>
    <row r="659" spans="1:9">
      <c r="A659" s="290">
        <v>330994</v>
      </c>
      <c r="B659" s="289" t="s">
        <v>34</v>
      </c>
      <c r="C659" s="289" t="s">
        <v>35</v>
      </c>
      <c r="D659" s="289" t="s">
        <v>2799</v>
      </c>
      <c r="E659" s="289" t="s">
        <v>2800</v>
      </c>
      <c r="F659" s="289" t="s">
        <v>2801</v>
      </c>
      <c r="I659" s="289" t="str">
        <f>("0330994")</f>
        <v>0330994</v>
      </c>
    </row>
    <row r="660" spans="1:9">
      <c r="A660" s="290">
        <v>331074</v>
      </c>
      <c r="B660" s="289" t="s">
        <v>34</v>
      </c>
      <c r="C660" s="289" t="s">
        <v>35</v>
      </c>
      <c r="D660" s="289" t="s">
        <v>2802</v>
      </c>
      <c r="E660" s="289" t="s">
        <v>2803</v>
      </c>
      <c r="F660" s="289" t="s">
        <v>2804</v>
      </c>
      <c r="I660" s="289" t="str">
        <f>("0331074")</f>
        <v>0331074</v>
      </c>
    </row>
    <row r="661" spans="1:9">
      <c r="A661" s="290">
        <v>331175</v>
      </c>
      <c r="B661" s="289" t="s">
        <v>34</v>
      </c>
      <c r="C661" s="289" t="s">
        <v>35</v>
      </c>
      <c r="D661" s="289" t="s">
        <v>4714</v>
      </c>
      <c r="E661" s="289" t="s">
        <v>4715</v>
      </c>
      <c r="F661" s="289" t="s">
        <v>4716</v>
      </c>
      <c r="I661" s="289" t="str">
        <f>("0331175")</f>
        <v>0331175</v>
      </c>
    </row>
    <row r="662" spans="1:9">
      <c r="A662" s="290">
        <v>331243</v>
      </c>
      <c r="B662" s="289" t="s">
        <v>34</v>
      </c>
      <c r="C662" s="289" t="s">
        <v>35</v>
      </c>
      <c r="D662" s="289" t="s">
        <v>2805</v>
      </c>
      <c r="E662" s="289" t="s">
        <v>2806</v>
      </c>
      <c r="F662" s="289" t="s">
        <v>2807</v>
      </c>
      <c r="I662" s="289" t="str">
        <f>("0331243")</f>
        <v>0331243</v>
      </c>
    </row>
    <row r="663" spans="1:9">
      <c r="A663" s="290">
        <v>331322</v>
      </c>
      <c r="B663" s="289" t="s">
        <v>34</v>
      </c>
      <c r="C663" s="289" t="s">
        <v>35</v>
      </c>
      <c r="D663" s="289" t="s">
        <v>2808</v>
      </c>
      <c r="E663" s="289" t="s">
        <v>2808</v>
      </c>
      <c r="F663" s="289" t="s">
        <v>2809</v>
      </c>
      <c r="I663" s="289" t="str">
        <f>("0331322")</f>
        <v>0331322</v>
      </c>
    </row>
    <row r="664" spans="1:9">
      <c r="A664" s="290">
        <v>335157</v>
      </c>
      <c r="B664" s="289" t="s">
        <v>29</v>
      </c>
      <c r="C664" s="289" t="s">
        <v>212</v>
      </c>
      <c r="D664" s="289" t="s">
        <v>2810</v>
      </c>
      <c r="E664" s="289" t="s">
        <v>2811</v>
      </c>
      <c r="F664" s="289" t="s">
        <v>2812</v>
      </c>
      <c r="I664" s="289" t="str">
        <f>("0335157")</f>
        <v>0335157</v>
      </c>
    </row>
    <row r="665" spans="1:9">
      <c r="A665" s="290">
        <v>335168</v>
      </c>
      <c r="B665" s="289" t="s">
        <v>667</v>
      </c>
      <c r="C665" s="289" t="s">
        <v>668</v>
      </c>
      <c r="D665" s="289" t="s">
        <v>2813</v>
      </c>
      <c r="E665" s="289" t="s">
        <v>2814</v>
      </c>
      <c r="F665" s="289" t="s">
        <v>2815</v>
      </c>
      <c r="I665" s="289" t="str">
        <f>("0335168")</f>
        <v>0335168</v>
      </c>
    </row>
    <row r="666" spans="1:9">
      <c r="A666" s="290">
        <v>335191</v>
      </c>
      <c r="B666" s="289" t="s">
        <v>667</v>
      </c>
      <c r="C666" s="289" t="s">
        <v>668</v>
      </c>
      <c r="D666" s="289" t="s">
        <v>2816</v>
      </c>
      <c r="E666" s="289" t="s">
        <v>2817</v>
      </c>
      <c r="F666" s="289" t="s">
        <v>2818</v>
      </c>
      <c r="I666" s="289" t="str">
        <f>("0335191")</f>
        <v>0335191</v>
      </c>
    </row>
    <row r="667" spans="1:9">
      <c r="A667" s="290">
        <v>335517</v>
      </c>
      <c r="B667" s="289" t="s">
        <v>34</v>
      </c>
      <c r="C667" s="289" t="s">
        <v>35</v>
      </c>
      <c r="D667" s="289" t="s">
        <v>2819</v>
      </c>
      <c r="E667" s="289" t="s">
        <v>2820</v>
      </c>
      <c r="F667" s="289" t="s">
        <v>2821</v>
      </c>
      <c r="I667" s="289" t="str">
        <f>("0335517")</f>
        <v>0335517</v>
      </c>
    </row>
    <row r="668" spans="1:9">
      <c r="A668" s="290">
        <v>335528</v>
      </c>
      <c r="B668" s="289" t="s">
        <v>667</v>
      </c>
      <c r="C668" s="289" t="s">
        <v>668</v>
      </c>
      <c r="D668" s="289" t="s">
        <v>2822</v>
      </c>
      <c r="E668" s="289" t="s">
        <v>2823</v>
      </c>
      <c r="F668" s="289" t="s">
        <v>4717</v>
      </c>
      <c r="I668" s="289" t="str">
        <f>("0335528")</f>
        <v>0335528</v>
      </c>
    </row>
    <row r="669" spans="1:9">
      <c r="A669" s="290">
        <v>335539</v>
      </c>
      <c r="B669" s="289" t="s">
        <v>667</v>
      </c>
      <c r="C669" s="289" t="s">
        <v>668</v>
      </c>
      <c r="D669" s="289" t="s">
        <v>2824</v>
      </c>
      <c r="E669" s="289" t="s">
        <v>2825</v>
      </c>
      <c r="F669" s="289" t="s">
        <v>2826</v>
      </c>
      <c r="I669" s="289" t="str">
        <f>("0335539")</f>
        <v>0335539</v>
      </c>
    </row>
    <row r="670" spans="1:9">
      <c r="A670" s="290">
        <v>335966</v>
      </c>
      <c r="B670" s="289" t="s">
        <v>667</v>
      </c>
      <c r="C670" s="289" t="s">
        <v>668</v>
      </c>
      <c r="D670" s="289" t="s">
        <v>2847</v>
      </c>
      <c r="E670" s="289" t="s">
        <v>2848</v>
      </c>
      <c r="F670" s="289" t="s">
        <v>2849</v>
      </c>
      <c r="I670" s="289" t="str">
        <f>("0335966")</f>
        <v>0335966</v>
      </c>
    </row>
    <row r="671" spans="1:9">
      <c r="A671" s="290">
        <v>335977</v>
      </c>
      <c r="B671" s="289" t="s">
        <v>667</v>
      </c>
      <c r="C671" s="289" t="s">
        <v>668</v>
      </c>
      <c r="D671" s="289" t="s">
        <v>2850</v>
      </c>
      <c r="E671" s="289" t="s">
        <v>2851</v>
      </c>
      <c r="F671" s="289" t="s">
        <v>2852</v>
      </c>
      <c r="I671" s="289" t="str">
        <f>("0335977")</f>
        <v>0335977</v>
      </c>
    </row>
    <row r="672" spans="1:9">
      <c r="A672" s="290">
        <v>336361</v>
      </c>
      <c r="B672" s="289" t="s">
        <v>630</v>
      </c>
      <c r="C672" s="289" t="s">
        <v>30</v>
      </c>
      <c r="D672" s="289" t="s">
        <v>2853</v>
      </c>
      <c r="E672" s="289" t="s">
        <v>2854</v>
      </c>
      <c r="F672" s="289" t="s">
        <v>3927</v>
      </c>
      <c r="I672" s="289" t="str">
        <f>("0336361")</f>
        <v>0336361</v>
      </c>
    </row>
    <row r="673" spans="1:9">
      <c r="A673" s="290">
        <v>337621</v>
      </c>
      <c r="B673" s="289" t="s">
        <v>630</v>
      </c>
      <c r="C673" s="289" t="s">
        <v>30</v>
      </c>
      <c r="D673" s="289" t="s">
        <v>2855</v>
      </c>
      <c r="E673" s="289" t="s">
        <v>2856</v>
      </c>
      <c r="F673" s="289" t="s">
        <v>2857</v>
      </c>
      <c r="I673" s="289" t="str">
        <f>("0337621")</f>
        <v>0337621</v>
      </c>
    </row>
    <row r="674" spans="1:9">
      <c r="A674" s="290">
        <v>338712</v>
      </c>
      <c r="B674" s="289" t="s">
        <v>630</v>
      </c>
      <c r="C674" s="289" t="s">
        <v>30</v>
      </c>
      <c r="D674" s="289" t="s">
        <v>2874</v>
      </c>
      <c r="E674" s="289" t="s">
        <v>2875</v>
      </c>
      <c r="F674" s="289" t="s">
        <v>2876</v>
      </c>
      <c r="I674" s="289" t="str">
        <f>("0338712")</f>
        <v>0338712</v>
      </c>
    </row>
    <row r="675" spans="1:9">
      <c r="A675" s="290">
        <v>339230</v>
      </c>
      <c r="B675" s="289" t="s">
        <v>34</v>
      </c>
      <c r="C675" s="289" t="s">
        <v>35</v>
      </c>
      <c r="D675" s="289" t="s">
        <v>4718</v>
      </c>
      <c r="E675" s="289" t="s">
        <v>4719</v>
      </c>
      <c r="F675" s="289" t="s">
        <v>2877</v>
      </c>
      <c r="I675" s="289" t="str">
        <f>("0339230")</f>
        <v>0339230</v>
      </c>
    </row>
    <row r="676" spans="1:9">
      <c r="A676" s="290">
        <v>340052</v>
      </c>
      <c r="B676" s="289" t="s">
        <v>34</v>
      </c>
      <c r="C676" s="289" t="s">
        <v>35</v>
      </c>
      <c r="D676" s="289" t="s">
        <v>2878</v>
      </c>
      <c r="E676" s="289" t="s">
        <v>2879</v>
      </c>
      <c r="F676" s="289" t="s">
        <v>2880</v>
      </c>
      <c r="I676" s="289" t="str">
        <f>("0340052")</f>
        <v>0340052</v>
      </c>
    </row>
    <row r="677" spans="1:9">
      <c r="A677" s="290">
        <v>340131</v>
      </c>
      <c r="B677" s="289" t="s">
        <v>34</v>
      </c>
      <c r="C677" s="289" t="s">
        <v>35</v>
      </c>
      <c r="D677" s="289" t="s">
        <v>2881</v>
      </c>
      <c r="E677" s="289" t="s">
        <v>2882</v>
      </c>
      <c r="F677" s="289" t="s">
        <v>2883</v>
      </c>
      <c r="I677" s="289" t="str">
        <f>("0340131")</f>
        <v>0340131</v>
      </c>
    </row>
    <row r="678" spans="1:9">
      <c r="A678" s="290">
        <v>340175</v>
      </c>
      <c r="B678" s="289" t="s">
        <v>34</v>
      </c>
      <c r="C678" s="289" t="s">
        <v>35</v>
      </c>
      <c r="D678" s="289" t="s">
        <v>2884</v>
      </c>
      <c r="E678" s="289" t="s">
        <v>2885</v>
      </c>
      <c r="F678" s="289" t="s">
        <v>2886</v>
      </c>
      <c r="I678" s="289" t="str">
        <f>("0340175")</f>
        <v>0340175</v>
      </c>
    </row>
    <row r="679" spans="1:9">
      <c r="A679" s="290">
        <v>340298</v>
      </c>
      <c r="B679" s="289" t="s">
        <v>34</v>
      </c>
      <c r="C679" s="289" t="s">
        <v>35</v>
      </c>
      <c r="D679" s="289" t="s">
        <v>2887</v>
      </c>
      <c r="E679" s="289" t="s">
        <v>2888</v>
      </c>
      <c r="F679" s="289" t="s">
        <v>2889</v>
      </c>
      <c r="I679" s="289" t="str">
        <f>("0340298")</f>
        <v>0340298</v>
      </c>
    </row>
    <row r="680" spans="1:9">
      <c r="A680" s="290">
        <v>340894</v>
      </c>
      <c r="B680" s="289" t="s">
        <v>34</v>
      </c>
      <c r="C680" s="289" t="s">
        <v>35</v>
      </c>
      <c r="D680" s="289" t="s">
        <v>2890</v>
      </c>
      <c r="E680" s="289" t="s">
        <v>2891</v>
      </c>
      <c r="F680" s="289" t="s">
        <v>2892</v>
      </c>
      <c r="I680" s="289" t="str">
        <f>("0340894")</f>
        <v>0340894</v>
      </c>
    </row>
    <row r="681" spans="1:9">
      <c r="A681" s="290">
        <v>340951</v>
      </c>
      <c r="B681" s="289" t="s">
        <v>34</v>
      </c>
      <c r="C681" s="289" t="s">
        <v>35</v>
      </c>
      <c r="D681" s="289" t="s">
        <v>2893</v>
      </c>
      <c r="E681" s="289" t="s">
        <v>2894</v>
      </c>
      <c r="F681" s="289" t="s">
        <v>2895</v>
      </c>
      <c r="I681" s="289" t="str">
        <f>("0340951")</f>
        <v>0340951</v>
      </c>
    </row>
    <row r="682" spans="1:9">
      <c r="A682" s="290">
        <v>342953</v>
      </c>
      <c r="B682" s="289" t="s">
        <v>34</v>
      </c>
      <c r="C682" s="289" t="s">
        <v>35</v>
      </c>
      <c r="D682" s="289" t="s">
        <v>2896</v>
      </c>
      <c r="E682" s="289" t="s">
        <v>2897</v>
      </c>
      <c r="F682" s="289" t="s">
        <v>2898</v>
      </c>
      <c r="I682" s="289" t="str">
        <f>("0342953")</f>
        <v>0342953</v>
      </c>
    </row>
    <row r="683" spans="1:9">
      <c r="A683" s="290">
        <v>342964</v>
      </c>
      <c r="B683" s="289" t="s">
        <v>34</v>
      </c>
      <c r="C683" s="289" t="s">
        <v>35</v>
      </c>
      <c r="D683" s="289" t="s">
        <v>2899</v>
      </c>
      <c r="E683" s="289" t="s">
        <v>2900</v>
      </c>
      <c r="F683" s="289" t="s">
        <v>2901</v>
      </c>
      <c r="I683" s="289" t="str">
        <f>("0342964")</f>
        <v>0342964</v>
      </c>
    </row>
    <row r="684" spans="1:9">
      <c r="A684" s="290">
        <v>343189</v>
      </c>
      <c r="B684" s="289" t="s">
        <v>630</v>
      </c>
      <c r="C684" s="289" t="s">
        <v>30</v>
      </c>
      <c r="D684" s="289" t="s">
        <v>2902</v>
      </c>
      <c r="E684" s="289" t="s">
        <v>2903</v>
      </c>
      <c r="F684" s="289" t="s">
        <v>2904</v>
      </c>
      <c r="I684" s="289" t="str">
        <f>("0343189")</f>
        <v>0343189</v>
      </c>
    </row>
    <row r="685" spans="1:9">
      <c r="A685" s="290">
        <v>344641</v>
      </c>
      <c r="B685" s="289" t="s">
        <v>34</v>
      </c>
      <c r="C685" s="289" t="s">
        <v>184</v>
      </c>
      <c r="D685" s="289" t="s">
        <v>2905</v>
      </c>
      <c r="E685" s="289" t="s">
        <v>2906</v>
      </c>
      <c r="F685" s="289" t="s">
        <v>2907</v>
      </c>
      <c r="I685" s="289" t="str">
        <f>("0344641")</f>
        <v>0344641</v>
      </c>
    </row>
    <row r="686" spans="1:9">
      <c r="A686" s="290">
        <v>344652</v>
      </c>
      <c r="B686" s="289" t="s">
        <v>34</v>
      </c>
      <c r="C686" s="289" t="s">
        <v>184</v>
      </c>
      <c r="D686" s="289" t="s">
        <v>2908</v>
      </c>
      <c r="E686" s="289" t="s">
        <v>2909</v>
      </c>
      <c r="F686" s="289" t="s">
        <v>2910</v>
      </c>
      <c r="I686" s="289" t="str">
        <f>("0344652")</f>
        <v>0344652</v>
      </c>
    </row>
    <row r="687" spans="1:9">
      <c r="A687" s="290">
        <v>349961</v>
      </c>
      <c r="B687" s="289" t="s">
        <v>667</v>
      </c>
      <c r="C687" s="289" t="s">
        <v>668</v>
      </c>
      <c r="D687" s="289" t="s">
        <v>2915</v>
      </c>
      <c r="E687" s="289" t="s">
        <v>4720</v>
      </c>
      <c r="F687" s="289" t="s">
        <v>2916</v>
      </c>
      <c r="I687" s="289" t="str">
        <f>("0349961")</f>
        <v>0349961</v>
      </c>
    </row>
    <row r="688" spans="1:9">
      <c r="A688" s="290">
        <v>349972</v>
      </c>
      <c r="B688" s="289" t="s">
        <v>1537</v>
      </c>
      <c r="C688" s="289" t="s">
        <v>1543</v>
      </c>
      <c r="D688" s="289" t="s">
        <v>2917</v>
      </c>
      <c r="E688" s="289" t="s">
        <v>2918</v>
      </c>
      <c r="F688" s="289" t="s">
        <v>2919</v>
      </c>
      <c r="I688" s="289" t="str">
        <f>("0349972")</f>
        <v>0349972</v>
      </c>
    </row>
    <row r="689" spans="1:9">
      <c r="A689" s="290">
        <v>354136</v>
      </c>
      <c r="B689" s="289" t="s">
        <v>630</v>
      </c>
      <c r="C689" s="289" t="s">
        <v>30</v>
      </c>
      <c r="D689" s="289" t="s">
        <v>2924</v>
      </c>
      <c r="E689" s="289" t="s">
        <v>2925</v>
      </c>
      <c r="F689" s="289" t="s">
        <v>2926</v>
      </c>
      <c r="I689" s="289" t="str">
        <f>("0354136")</f>
        <v>0354136</v>
      </c>
    </row>
    <row r="690" spans="1:9">
      <c r="A690" s="290">
        <v>356611</v>
      </c>
      <c r="B690" s="289" t="s">
        <v>34</v>
      </c>
      <c r="C690" s="289" t="s">
        <v>35</v>
      </c>
      <c r="D690" s="289" t="s">
        <v>2927</v>
      </c>
      <c r="E690" s="289" t="s">
        <v>2928</v>
      </c>
      <c r="F690" s="289" t="s">
        <v>2929</v>
      </c>
      <c r="I690" s="289" t="str">
        <f>("0356611")</f>
        <v>0356611</v>
      </c>
    </row>
    <row r="691" spans="1:9">
      <c r="A691" s="290">
        <v>356666</v>
      </c>
      <c r="B691" s="289" t="s">
        <v>34</v>
      </c>
      <c r="C691" s="289" t="s">
        <v>35</v>
      </c>
      <c r="D691" s="289" t="s">
        <v>2930</v>
      </c>
      <c r="E691" s="289" t="s">
        <v>2930</v>
      </c>
      <c r="F691" s="289" t="s">
        <v>2931</v>
      </c>
      <c r="I691" s="289" t="str">
        <f>("0356666")</f>
        <v>0356666</v>
      </c>
    </row>
    <row r="692" spans="1:9">
      <c r="A692" s="290">
        <v>356790</v>
      </c>
      <c r="B692" s="289" t="s">
        <v>34</v>
      </c>
      <c r="C692" s="289" t="s">
        <v>35</v>
      </c>
      <c r="D692" s="289" t="s">
        <v>2932</v>
      </c>
      <c r="E692" s="289" t="s">
        <v>2933</v>
      </c>
      <c r="F692" s="289" t="s">
        <v>2934</v>
      </c>
      <c r="I692" s="289" t="str">
        <f>("0356790")</f>
        <v>0356790</v>
      </c>
    </row>
    <row r="693" spans="1:9">
      <c r="A693" s="290">
        <v>357577</v>
      </c>
      <c r="B693" s="289" t="s">
        <v>1537</v>
      </c>
      <c r="C693" s="289" t="s">
        <v>1538</v>
      </c>
      <c r="D693" s="289" t="s">
        <v>2935</v>
      </c>
      <c r="E693" s="289" t="s">
        <v>2936</v>
      </c>
      <c r="F693" s="289" t="s">
        <v>2937</v>
      </c>
      <c r="I693" s="289" t="str">
        <f>("0357577")</f>
        <v>0357577</v>
      </c>
    </row>
    <row r="694" spans="1:9">
      <c r="A694" s="290">
        <v>359074</v>
      </c>
      <c r="B694" s="289" t="s">
        <v>34</v>
      </c>
      <c r="C694" s="289" t="s">
        <v>35</v>
      </c>
      <c r="D694" s="289" t="s">
        <v>2938</v>
      </c>
      <c r="E694" s="289" t="s">
        <v>2939</v>
      </c>
      <c r="F694" s="289" t="s">
        <v>2940</v>
      </c>
      <c r="I694" s="289" t="str">
        <f>("0359074")</f>
        <v>0359074</v>
      </c>
    </row>
    <row r="695" spans="1:9">
      <c r="A695" s="290">
        <v>359175</v>
      </c>
      <c r="B695" s="289" t="s">
        <v>34</v>
      </c>
      <c r="C695" s="289" t="s">
        <v>35</v>
      </c>
      <c r="D695" s="289" t="s">
        <v>2941</v>
      </c>
      <c r="E695" s="289" t="s">
        <v>2942</v>
      </c>
      <c r="F695" s="289" t="s">
        <v>2943</v>
      </c>
      <c r="I695" s="289" t="str">
        <f>("0359175")</f>
        <v>0359175</v>
      </c>
    </row>
    <row r="696" spans="1:9">
      <c r="A696" s="290">
        <v>361606</v>
      </c>
      <c r="B696" s="289" t="s">
        <v>667</v>
      </c>
      <c r="C696" s="289" t="s">
        <v>668</v>
      </c>
      <c r="D696" s="289" t="s">
        <v>2944</v>
      </c>
      <c r="E696" s="289" t="s">
        <v>2945</v>
      </c>
      <c r="F696" s="289" t="s">
        <v>2946</v>
      </c>
      <c r="I696" s="289" t="str">
        <f>("0361606")</f>
        <v>0361606</v>
      </c>
    </row>
    <row r="697" spans="1:9">
      <c r="A697" s="290">
        <v>361617</v>
      </c>
      <c r="B697" s="289" t="s">
        <v>667</v>
      </c>
      <c r="C697" s="289" t="s">
        <v>668</v>
      </c>
      <c r="D697" s="289" t="s">
        <v>2947</v>
      </c>
      <c r="E697" s="289" t="s">
        <v>2948</v>
      </c>
      <c r="F697" s="289" t="s">
        <v>4949</v>
      </c>
      <c r="I697" s="289" t="str">
        <f>("0361617")</f>
        <v>0361617</v>
      </c>
    </row>
    <row r="698" spans="1:9">
      <c r="A698" s="290">
        <v>361628</v>
      </c>
      <c r="B698" s="289" t="s">
        <v>667</v>
      </c>
      <c r="C698" s="289" t="s">
        <v>668</v>
      </c>
      <c r="D698" s="289" t="s">
        <v>2949</v>
      </c>
      <c r="E698" s="289" t="s">
        <v>2950</v>
      </c>
      <c r="F698" s="289" t="s">
        <v>2951</v>
      </c>
      <c r="I698" s="289" t="str">
        <f>("0361628")</f>
        <v>0361628</v>
      </c>
    </row>
    <row r="699" spans="1:9">
      <c r="A699" s="290">
        <v>361864</v>
      </c>
      <c r="B699" s="289" t="s">
        <v>667</v>
      </c>
      <c r="C699" s="289" t="s">
        <v>668</v>
      </c>
      <c r="D699" s="289" t="s">
        <v>2952</v>
      </c>
      <c r="E699" s="289" t="s">
        <v>2952</v>
      </c>
      <c r="F699" s="289" t="s">
        <v>2953</v>
      </c>
      <c r="I699" s="289" t="str">
        <f>("0361864")</f>
        <v>0361864</v>
      </c>
    </row>
    <row r="700" spans="1:9">
      <c r="A700" s="290">
        <v>362179</v>
      </c>
      <c r="B700" s="289" t="s">
        <v>667</v>
      </c>
      <c r="C700" s="289" t="s">
        <v>668</v>
      </c>
      <c r="D700" s="289" t="s">
        <v>2954</v>
      </c>
      <c r="E700" s="289" t="s">
        <v>2955</v>
      </c>
      <c r="F700" s="289" t="s">
        <v>2956</v>
      </c>
      <c r="I700" s="289" t="str">
        <f>("0362179")</f>
        <v>0362179</v>
      </c>
    </row>
    <row r="701" spans="1:9">
      <c r="A701" s="290">
        <v>362180</v>
      </c>
      <c r="B701" s="289" t="s">
        <v>667</v>
      </c>
      <c r="C701" s="289" t="s">
        <v>668</v>
      </c>
      <c r="D701" s="289" t="s">
        <v>2957</v>
      </c>
      <c r="E701" s="289" t="s">
        <v>2958</v>
      </c>
      <c r="F701" s="289" t="s">
        <v>2959</v>
      </c>
      <c r="I701" s="289" t="str">
        <f>("0362180")</f>
        <v>0362180</v>
      </c>
    </row>
    <row r="702" spans="1:9">
      <c r="A702" s="290">
        <v>362607</v>
      </c>
      <c r="B702" s="289" t="s">
        <v>29</v>
      </c>
      <c r="C702" s="289" t="s">
        <v>212</v>
      </c>
      <c r="D702" s="289" t="s">
        <v>4721</v>
      </c>
      <c r="E702" s="289" t="s">
        <v>4722</v>
      </c>
      <c r="F702" s="289" t="s">
        <v>4723</v>
      </c>
      <c r="I702" s="289" t="str">
        <f>("0362607")</f>
        <v>0362607</v>
      </c>
    </row>
    <row r="703" spans="1:9">
      <c r="A703" s="290">
        <v>365497</v>
      </c>
      <c r="B703" s="289" t="s">
        <v>34</v>
      </c>
      <c r="C703" s="289" t="s">
        <v>35</v>
      </c>
      <c r="D703" s="289" t="s">
        <v>2976</v>
      </c>
      <c r="E703" s="289" t="s">
        <v>2977</v>
      </c>
      <c r="F703" s="289" t="s">
        <v>2978</v>
      </c>
      <c r="I703" s="289" t="str">
        <f>("0365497")</f>
        <v>0365497</v>
      </c>
    </row>
    <row r="704" spans="1:9">
      <c r="A704" s="290">
        <v>365677</v>
      </c>
      <c r="B704" s="289" t="s">
        <v>34</v>
      </c>
      <c r="C704" s="289" t="s">
        <v>35</v>
      </c>
      <c r="D704" s="289" t="s">
        <v>2979</v>
      </c>
      <c r="E704" s="289" t="s">
        <v>2980</v>
      </c>
      <c r="F704" s="289" t="s">
        <v>2981</v>
      </c>
      <c r="I704" s="289" t="str">
        <f>("0365677")</f>
        <v>0365677</v>
      </c>
    </row>
    <row r="705" spans="1:9">
      <c r="A705" s="290">
        <v>365969</v>
      </c>
      <c r="B705" s="289" t="s">
        <v>34</v>
      </c>
      <c r="C705" s="289" t="s">
        <v>35</v>
      </c>
      <c r="D705" s="289" t="s">
        <v>2982</v>
      </c>
      <c r="E705" s="289" t="s">
        <v>2983</v>
      </c>
      <c r="F705" s="289" t="s">
        <v>2984</v>
      </c>
      <c r="I705" s="289" t="str">
        <f>("0365969")</f>
        <v>0365969</v>
      </c>
    </row>
    <row r="706" spans="1:9">
      <c r="A706" s="290">
        <v>365992</v>
      </c>
      <c r="B706" s="289" t="s">
        <v>34</v>
      </c>
      <c r="C706" s="289" t="s">
        <v>35</v>
      </c>
      <c r="D706" s="289" t="s">
        <v>2985</v>
      </c>
      <c r="E706" s="289" t="s">
        <v>2986</v>
      </c>
      <c r="F706" s="289" t="s">
        <v>2987</v>
      </c>
      <c r="I706" s="289" t="str">
        <f>("0365992")</f>
        <v>0365992</v>
      </c>
    </row>
    <row r="707" spans="1:9">
      <c r="A707" s="290">
        <v>366049</v>
      </c>
      <c r="B707" s="289" t="s">
        <v>34</v>
      </c>
      <c r="C707" s="289" t="s">
        <v>35</v>
      </c>
      <c r="D707" s="289" t="s">
        <v>2988</v>
      </c>
      <c r="E707" s="289" t="s">
        <v>2989</v>
      </c>
      <c r="F707" s="289" t="s">
        <v>2990</v>
      </c>
      <c r="I707" s="289" t="str">
        <f>("0366049")</f>
        <v>0366049</v>
      </c>
    </row>
    <row r="708" spans="1:9">
      <c r="A708" s="290">
        <v>366072</v>
      </c>
      <c r="B708" s="289" t="s">
        <v>34</v>
      </c>
      <c r="C708" s="289" t="s">
        <v>35</v>
      </c>
      <c r="D708" s="289" t="s">
        <v>2991</v>
      </c>
      <c r="E708" s="289" t="s">
        <v>2992</v>
      </c>
      <c r="F708" s="289" t="s">
        <v>2993</v>
      </c>
      <c r="I708" s="289" t="str">
        <f>("0366072")</f>
        <v>0366072</v>
      </c>
    </row>
    <row r="709" spans="1:9">
      <c r="A709" s="290">
        <v>366140</v>
      </c>
      <c r="B709" s="289" t="s">
        <v>34</v>
      </c>
      <c r="C709" s="289" t="s">
        <v>35</v>
      </c>
      <c r="D709" s="289" t="s">
        <v>2994</v>
      </c>
      <c r="E709" s="289" t="s">
        <v>2995</v>
      </c>
      <c r="F709" s="289" t="s">
        <v>2996</v>
      </c>
      <c r="I709" s="289" t="str">
        <f>("0366140")</f>
        <v>0366140</v>
      </c>
    </row>
    <row r="710" spans="1:9">
      <c r="A710" s="290">
        <v>366151</v>
      </c>
      <c r="B710" s="289" t="s">
        <v>34</v>
      </c>
      <c r="C710" s="289" t="s">
        <v>35</v>
      </c>
      <c r="D710" s="289" t="s">
        <v>2997</v>
      </c>
      <c r="E710" s="289" t="s">
        <v>2998</v>
      </c>
      <c r="F710" s="289" t="s">
        <v>2999</v>
      </c>
      <c r="I710" s="289" t="str">
        <f>("0366151")</f>
        <v>0366151</v>
      </c>
    </row>
    <row r="711" spans="1:9">
      <c r="A711" s="290">
        <v>366162</v>
      </c>
      <c r="B711" s="289" t="s">
        <v>1537</v>
      </c>
      <c r="C711" s="289" t="s">
        <v>3000</v>
      </c>
      <c r="D711" s="289" t="s">
        <v>3001</v>
      </c>
      <c r="E711" s="289" t="s">
        <v>3002</v>
      </c>
      <c r="F711" s="289" t="s">
        <v>3003</v>
      </c>
      <c r="I711" s="289" t="str">
        <f>("0366162")</f>
        <v>0366162</v>
      </c>
    </row>
    <row r="712" spans="1:9">
      <c r="A712" s="290">
        <v>366588</v>
      </c>
      <c r="B712" s="289" t="s">
        <v>34</v>
      </c>
      <c r="C712" s="289" t="s">
        <v>35</v>
      </c>
      <c r="D712" s="289" t="s">
        <v>3004</v>
      </c>
      <c r="E712" s="289" t="s">
        <v>3005</v>
      </c>
      <c r="F712" s="289" t="s">
        <v>3006</v>
      </c>
      <c r="I712" s="289" t="str">
        <f>("0366588")</f>
        <v>0366588</v>
      </c>
    </row>
    <row r="713" spans="1:9">
      <c r="A713" s="290">
        <v>368579</v>
      </c>
      <c r="B713" s="289" t="s">
        <v>630</v>
      </c>
      <c r="C713" s="289" t="s">
        <v>30</v>
      </c>
      <c r="D713" s="289" t="s">
        <v>5269</v>
      </c>
      <c r="E713" s="289" t="s">
        <v>5269</v>
      </c>
      <c r="F713" s="289" t="s">
        <v>5270</v>
      </c>
      <c r="I713" s="289" t="str">
        <f>("0368579")</f>
        <v>0368579</v>
      </c>
    </row>
    <row r="714" spans="1:9">
      <c r="A714" s="290">
        <v>368580</v>
      </c>
      <c r="B714" s="289" t="s">
        <v>630</v>
      </c>
      <c r="C714" s="289" t="s">
        <v>30</v>
      </c>
      <c r="D714" s="289" t="s">
        <v>4724</v>
      </c>
      <c r="E714" s="289" t="s">
        <v>4725</v>
      </c>
      <c r="F714" s="289" t="s">
        <v>4726</v>
      </c>
      <c r="I714" s="289" t="str">
        <f>("0368580")</f>
        <v>0368580</v>
      </c>
    </row>
    <row r="715" spans="1:9">
      <c r="A715" s="290">
        <v>368603</v>
      </c>
      <c r="B715" s="289" t="s">
        <v>630</v>
      </c>
      <c r="C715" s="289" t="s">
        <v>30</v>
      </c>
      <c r="D715" s="289" t="s">
        <v>3007</v>
      </c>
      <c r="E715" s="289" t="s">
        <v>3008</v>
      </c>
      <c r="F715" s="289" t="s">
        <v>3009</v>
      </c>
      <c r="I715" s="289" t="str">
        <f>("0368603")</f>
        <v>0368603</v>
      </c>
    </row>
    <row r="716" spans="1:9">
      <c r="A716" s="290">
        <v>368614</v>
      </c>
      <c r="B716" s="289" t="s">
        <v>630</v>
      </c>
      <c r="C716" s="289" t="s">
        <v>30</v>
      </c>
      <c r="D716" s="289" t="s">
        <v>3010</v>
      </c>
      <c r="E716" s="289" t="s">
        <v>3011</v>
      </c>
      <c r="F716" s="289" t="s">
        <v>3012</v>
      </c>
      <c r="I716" s="289" t="str">
        <f>("0368614")</f>
        <v>0368614</v>
      </c>
    </row>
    <row r="717" spans="1:9">
      <c r="A717" s="290">
        <v>368625</v>
      </c>
      <c r="B717" s="289" t="s">
        <v>630</v>
      </c>
      <c r="C717" s="289" t="s">
        <v>30</v>
      </c>
      <c r="D717" s="289" t="s">
        <v>3013</v>
      </c>
      <c r="E717" s="289" t="s">
        <v>3014</v>
      </c>
      <c r="F717" s="289" t="s">
        <v>3015</v>
      </c>
      <c r="I717" s="289" t="str">
        <f>("0368625")</f>
        <v>0368625</v>
      </c>
    </row>
    <row r="718" spans="1:9">
      <c r="A718" s="290">
        <v>368636</v>
      </c>
      <c r="B718" s="289" t="s">
        <v>630</v>
      </c>
      <c r="C718" s="289" t="s">
        <v>30</v>
      </c>
      <c r="D718" s="289" t="s">
        <v>3016</v>
      </c>
      <c r="E718" s="289" t="s">
        <v>3017</v>
      </c>
      <c r="F718" s="289" t="s">
        <v>3018</v>
      </c>
      <c r="I718" s="289" t="str">
        <f>("0368636")</f>
        <v>0368636</v>
      </c>
    </row>
    <row r="719" spans="1:9">
      <c r="A719" s="290">
        <v>368647</v>
      </c>
      <c r="B719" s="289" t="s">
        <v>630</v>
      </c>
      <c r="C719" s="289" t="s">
        <v>30</v>
      </c>
      <c r="D719" s="289" t="s">
        <v>3019</v>
      </c>
      <c r="E719" s="289" t="s">
        <v>3020</v>
      </c>
      <c r="F719" s="289" t="s">
        <v>3021</v>
      </c>
      <c r="I719" s="289" t="str">
        <f>("0368647")</f>
        <v>0368647</v>
      </c>
    </row>
    <row r="720" spans="1:9">
      <c r="A720" s="290">
        <v>368658</v>
      </c>
      <c r="B720" s="289" t="s">
        <v>630</v>
      </c>
      <c r="C720" s="289" t="s">
        <v>30</v>
      </c>
      <c r="D720" s="289" t="s">
        <v>3022</v>
      </c>
      <c r="E720" s="289" t="s">
        <v>3023</v>
      </c>
      <c r="F720" s="289" t="s">
        <v>3024</v>
      </c>
      <c r="I720" s="289" t="str">
        <f>("0368658")</f>
        <v>0368658</v>
      </c>
    </row>
    <row r="721" spans="1:9">
      <c r="A721" s="290">
        <v>369693</v>
      </c>
      <c r="B721" s="289" t="s">
        <v>667</v>
      </c>
      <c r="C721" s="289" t="s">
        <v>668</v>
      </c>
      <c r="D721" s="289" t="s">
        <v>3025</v>
      </c>
      <c r="E721" s="289" t="s">
        <v>3026</v>
      </c>
      <c r="F721" s="289" t="s">
        <v>3027</v>
      </c>
      <c r="I721" s="289" t="str">
        <f>("0369693")</f>
        <v>0369693</v>
      </c>
    </row>
    <row r="722" spans="1:9">
      <c r="A722" s="290">
        <v>370448</v>
      </c>
      <c r="B722" s="289" t="s">
        <v>667</v>
      </c>
      <c r="C722" s="289" t="s">
        <v>668</v>
      </c>
      <c r="D722" s="289" t="s">
        <v>3028</v>
      </c>
      <c r="E722" s="289" t="s">
        <v>3029</v>
      </c>
      <c r="F722" s="289" t="s">
        <v>3030</v>
      </c>
      <c r="I722" s="289" t="str">
        <f>("0370448")</f>
        <v>0370448</v>
      </c>
    </row>
    <row r="723" spans="1:9">
      <c r="A723" s="290">
        <v>371146</v>
      </c>
      <c r="B723" s="289" t="s">
        <v>667</v>
      </c>
      <c r="C723" s="289" t="s">
        <v>668</v>
      </c>
      <c r="D723" s="289" t="s">
        <v>3031</v>
      </c>
      <c r="E723" s="289" t="s">
        <v>3032</v>
      </c>
      <c r="F723" s="289" t="s">
        <v>3033</v>
      </c>
      <c r="I723" s="289" t="str">
        <f>("0371146")</f>
        <v>0371146</v>
      </c>
    </row>
    <row r="724" spans="1:9">
      <c r="A724" s="290">
        <v>371157</v>
      </c>
      <c r="B724" s="289" t="s">
        <v>667</v>
      </c>
      <c r="C724" s="289" t="s">
        <v>668</v>
      </c>
      <c r="D724" s="289" t="s">
        <v>3034</v>
      </c>
      <c r="E724" s="289" t="s">
        <v>3035</v>
      </c>
      <c r="F724" s="289" t="s">
        <v>3036</v>
      </c>
      <c r="I724" s="289" t="str">
        <f>("0371157")</f>
        <v>0371157</v>
      </c>
    </row>
    <row r="725" spans="1:9">
      <c r="A725" s="290">
        <v>375836</v>
      </c>
      <c r="B725" s="289" t="s">
        <v>667</v>
      </c>
      <c r="C725" s="289" t="s">
        <v>668</v>
      </c>
      <c r="D725" s="289" t="s">
        <v>4950</v>
      </c>
      <c r="E725" s="289" t="s">
        <v>4951</v>
      </c>
      <c r="F725" s="289" t="s">
        <v>4952</v>
      </c>
      <c r="I725" s="289" t="str">
        <f>("0375836")</f>
        <v>0375836</v>
      </c>
    </row>
    <row r="726" spans="1:9">
      <c r="A726" s="290">
        <v>376477</v>
      </c>
      <c r="B726" s="289" t="s">
        <v>667</v>
      </c>
      <c r="C726" s="289" t="s">
        <v>668</v>
      </c>
      <c r="D726" s="289" t="s">
        <v>3045</v>
      </c>
      <c r="E726" s="289" t="s">
        <v>3046</v>
      </c>
      <c r="F726" s="289" t="s">
        <v>3047</v>
      </c>
      <c r="I726" s="289" t="str">
        <f>("0376477")</f>
        <v>0376477</v>
      </c>
    </row>
    <row r="727" spans="1:9">
      <c r="A727" s="290">
        <v>376488</v>
      </c>
      <c r="B727" s="289" t="s">
        <v>667</v>
      </c>
      <c r="C727" s="289" t="s">
        <v>668</v>
      </c>
      <c r="D727" s="289" t="s">
        <v>5271</v>
      </c>
      <c r="E727" s="289" t="s">
        <v>5271</v>
      </c>
      <c r="F727" s="289" t="s">
        <v>5272</v>
      </c>
      <c r="I727" s="289" t="str">
        <f>("0376488")</f>
        <v>0376488</v>
      </c>
    </row>
    <row r="728" spans="1:9">
      <c r="A728" s="290">
        <v>376590</v>
      </c>
      <c r="B728" s="289" t="s">
        <v>34</v>
      </c>
      <c r="C728" s="289" t="s">
        <v>184</v>
      </c>
      <c r="D728" s="289" t="s">
        <v>3048</v>
      </c>
      <c r="E728" s="289" t="s">
        <v>4727</v>
      </c>
      <c r="F728" s="289" t="s">
        <v>3049</v>
      </c>
      <c r="I728" s="289" t="str">
        <f>("0376590")</f>
        <v>0376590</v>
      </c>
    </row>
    <row r="729" spans="1:9">
      <c r="A729" s="290">
        <v>376747</v>
      </c>
      <c r="B729" s="289" t="s">
        <v>667</v>
      </c>
      <c r="C729" s="289" t="s">
        <v>668</v>
      </c>
      <c r="D729" s="289" t="s">
        <v>3050</v>
      </c>
      <c r="E729" s="289" t="s">
        <v>3051</v>
      </c>
      <c r="F729" s="289" t="s">
        <v>3052</v>
      </c>
      <c r="I729" s="289" t="str">
        <f>("0376747")</f>
        <v>0376747</v>
      </c>
    </row>
    <row r="730" spans="1:9">
      <c r="A730" s="290">
        <v>377388</v>
      </c>
      <c r="B730" s="289" t="s">
        <v>1537</v>
      </c>
      <c r="C730" s="289" t="s">
        <v>3000</v>
      </c>
      <c r="D730" s="289" t="s">
        <v>5273</v>
      </c>
      <c r="E730" s="289" t="s">
        <v>5274</v>
      </c>
      <c r="F730" s="289" t="s">
        <v>5275</v>
      </c>
      <c r="I730" s="289" t="str">
        <f>("0377388")</f>
        <v>0377388</v>
      </c>
    </row>
    <row r="731" spans="1:9">
      <c r="A731" s="290">
        <v>377636</v>
      </c>
      <c r="B731" s="289" t="s">
        <v>34</v>
      </c>
      <c r="C731" s="289" t="s">
        <v>35</v>
      </c>
      <c r="D731" s="289" t="s">
        <v>3059</v>
      </c>
      <c r="E731" s="289" t="s">
        <v>3059</v>
      </c>
      <c r="F731" s="289" t="s">
        <v>3060</v>
      </c>
      <c r="I731" s="289" t="str">
        <f>("0377636")</f>
        <v>0377636</v>
      </c>
    </row>
    <row r="732" spans="1:9">
      <c r="A732" s="290">
        <v>377838</v>
      </c>
      <c r="B732" s="289" t="s">
        <v>34</v>
      </c>
      <c r="C732" s="289" t="s">
        <v>35</v>
      </c>
      <c r="D732" s="289" t="s">
        <v>3061</v>
      </c>
      <c r="E732" s="289" t="s">
        <v>3062</v>
      </c>
      <c r="F732" s="289" t="s">
        <v>3063</v>
      </c>
      <c r="I732" s="289" t="str">
        <f>("0377838")</f>
        <v>0377838</v>
      </c>
    </row>
    <row r="733" spans="1:9">
      <c r="A733" s="290">
        <v>379874</v>
      </c>
      <c r="B733" s="289" t="s">
        <v>34</v>
      </c>
      <c r="C733" s="289" t="s">
        <v>35</v>
      </c>
      <c r="D733" s="289" t="s">
        <v>3064</v>
      </c>
      <c r="E733" s="289" t="s">
        <v>3065</v>
      </c>
      <c r="F733" s="289" t="s">
        <v>3066</v>
      </c>
      <c r="I733" s="289" t="str">
        <f>("0379874")</f>
        <v>0379874</v>
      </c>
    </row>
    <row r="734" spans="1:9">
      <c r="A734" s="290">
        <v>387356</v>
      </c>
      <c r="B734" s="289" t="s">
        <v>667</v>
      </c>
      <c r="C734" s="289" t="s">
        <v>668</v>
      </c>
      <c r="D734" s="289" t="s">
        <v>3067</v>
      </c>
      <c r="E734" s="289" t="s">
        <v>3068</v>
      </c>
      <c r="F734" s="289" t="s">
        <v>3069</v>
      </c>
      <c r="I734" s="289" t="str">
        <f>("0387356")</f>
        <v>0387356</v>
      </c>
    </row>
    <row r="735" spans="1:9">
      <c r="A735" s="290">
        <v>387389</v>
      </c>
      <c r="B735" s="289" t="s">
        <v>1537</v>
      </c>
      <c r="C735" s="289" t="s">
        <v>1543</v>
      </c>
      <c r="D735" s="289" t="s">
        <v>3070</v>
      </c>
      <c r="E735" s="289" t="s">
        <v>3071</v>
      </c>
      <c r="F735" s="289" t="s">
        <v>3072</v>
      </c>
      <c r="I735" s="289" t="str">
        <f>("0387389")</f>
        <v>0387389</v>
      </c>
    </row>
    <row r="736" spans="1:9">
      <c r="A736" s="290">
        <v>388043</v>
      </c>
      <c r="B736" s="289" t="s">
        <v>29</v>
      </c>
      <c r="C736" s="289" t="s">
        <v>212</v>
      </c>
      <c r="D736" s="289" t="s">
        <v>3082</v>
      </c>
      <c r="E736" s="289" t="s">
        <v>3083</v>
      </c>
      <c r="F736" s="289" t="s">
        <v>3084</v>
      </c>
      <c r="I736" s="289" t="str">
        <f>("0388043")</f>
        <v>0388043</v>
      </c>
    </row>
    <row r="737" spans="1:9">
      <c r="A737" s="290">
        <v>388054</v>
      </c>
      <c r="B737" s="289" t="s">
        <v>667</v>
      </c>
      <c r="C737" s="289" t="s">
        <v>668</v>
      </c>
      <c r="D737" s="289" t="s">
        <v>3085</v>
      </c>
      <c r="E737" s="289" t="s">
        <v>3086</v>
      </c>
      <c r="F737" s="289" t="s">
        <v>3087</v>
      </c>
      <c r="I737" s="289" t="str">
        <f>("0388054")</f>
        <v>0388054</v>
      </c>
    </row>
    <row r="738" spans="1:9">
      <c r="A738" s="290">
        <v>390002</v>
      </c>
      <c r="B738" s="289" t="s">
        <v>630</v>
      </c>
      <c r="C738" s="289" t="s">
        <v>30</v>
      </c>
      <c r="D738" s="289" t="s">
        <v>3092</v>
      </c>
      <c r="E738" s="289" t="s">
        <v>3093</v>
      </c>
      <c r="F738" s="289" t="s">
        <v>3094</v>
      </c>
      <c r="I738" s="289" t="str">
        <f>("0390002")</f>
        <v>0390002</v>
      </c>
    </row>
    <row r="739" spans="1:9">
      <c r="A739" s="290">
        <v>390697</v>
      </c>
      <c r="B739" s="289" t="s">
        <v>667</v>
      </c>
      <c r="C739" s="289" t="s">
        <v>668</v>
      </c>
      <c r="D739" s="289" t="s">
        <v>3095</v>
      </c>
      <c r="E739" s="289" t="s">
        <v>3095</v>
      </c>
      <c r="F739" s="289" t="s">
        <v>3096</v>
      </c>
      <c r="I739" s="289" t="str">
        <f>("0390697")</f>
        <v>0390697</v>
      </c>
    </row>
    <row r="740" spans="1:9">
      <c r="A740" s="290">
        <v>392745</v>
      </c>
      <c r="B740" s="289" t="s">
        <v>34</v>
      </c>
      <c r="C740" s="289" t="s">
        <v>35</v>
      </c>
      <c r="D740" s="289" t="s">
        <v>3097</v>
      </c>
      <c r="E740" s="289" t="s">
        <v>3098</v>
      </c>
      <c r="F740" s="289" t="s">
        <v>3099</v>
      </c>
      <c r="I740" s="289" t="str">
        <f>("0392745")</f>
        <v>0392745</v>
      </c>
    </row>
    <row r="741" spans="1:9">
      <c r="A741" s="290">
        <v>392756</v>
      </c>
      <c r="B741" s="289" t="s">
        <v>34</v>
      </c>
      <c r="C741" s="289" t="s">
        <v>35</v>
      </c>
      <c r="D741" s="289" t="s">
        <v>3100</v>
      </c>
      <c r="E741" s="289" t="s">
        <v>3101</v>
      </c>
      <c r="F741" s="289" t="s">
        <v>3102</v>
      </c>
      <c r="I741" s="289" t="str">
        <f>("0392756")</f>
        <v>0392756</v>
      </c>
    </row>
    <row r="742" spans="1:9">
      <c r="A742" s="290">
        <v>392891</v>
      </c>
      <c r="B742" s="289" t="s">
        <v>34</v>
      </c>
      <c r="C742" s="289" t="s">
        <v>35</v>
      </c>
      <c r="D742" s="289" t="s">
        <v>3103</v>
      </c>
      <c r="E742" s="289" t="s">
        <v>3104</v>
      </c>
      <c r="F742" s="289">
        <v>392891</v>
      </c>
      <c r="I742" s="289" t="str">
        <f>("0392891")</f>
        <v>0392891</v>
      </c>
    </row>
    <row r="743" spans="1:9">
      <c r="A743" s="290">
        <v>394286</v>
      </c>
      <c r="B743" s="289" t="s">
        <v>34</v>
      </c>
      <c r="C743" s="289" t="s">
        <v>35</v>
      </c>
      <c r="D743" s="289" t="s">
        <v>3105</v>
      </c>
      <c r="E743" s="289" t="s">
        <v>3106</v>
      </c>
      <c r="F743" s="289" t="s">
        <v>3107</v>
      </c>
      <c r="I743" s="289" t="str">
        <f>("0394286")</f>
        <v>0394286</v>
      </c>
    </row>
    <row r="744" spans="1:9">
      <c r="A744" s="290">
        <v>395861</v>
      </c>
      <c r="B744" s="289" t="s">
        <v>667</v>
      </c>
      <c r="C744" s="289" t="s">
        <v>668</v>
      </c>
      <c r="D744" s="289" t="s">
        <v>3108</v>
      </c>
      <c r="E744" s="289" t="s">
        <v>3109</v>
      </c>
      <c r="F744" s="289" t="s">
        <v>3110</v>
      </c>
      <c r="I744" s="289" t="str">
        <f>("0395861")</f>
        <v>0395861</v>
      </c>
    </row>
    <row r="745" spans="1:9">
      <c r="A745" s="290">
        <v>396615</v>
      </c>
      <c r="B745" s="289" t="s">
        <v>667</v>
      </c>
      <c r="C745" s="289" t="s">
        <v>668</v>
      </c>
      <c r="D745" s="289" t="s">
        <v>3111</v>
      </c>
      <c r="E745" s="289" t="s">
        <v>3112</v>
      </c>
      <c r="F745" s="289" t="s">
        <v>3113</v>
      </c>
      <c r="I745" s="289" t="str">
        <f>("0396615")</f>
        <v>0396615</v>
      </c>
    </row>
    <row r="746" spans="1:9">
      <c r="A746" s="290">
        <v>396749</v>
      </c>
      <c r="B746" s="289" t="s">
        <v>667</v>
      </c>
      <c r="C746" s="289" t="s">
        <v>668</v>
      </c>
      <c r="D746" s="289" t="s">
        <v>3114</v>
      </c>
      <c r="E746" s="289" t="s">
        <v>3115</v>
      </c>
      <c r="F746" s="289" t="s">
        <v>3116</v>
      </c>
      <c r="I746" s="289" t="str">
        <f>("0396749")</f>
        <v>0396749</v>
      </c>
    </row>
    <row r="747" spans="1:9">
      <c r="A747" s="290">
        <v>399876</v>
      </c>
      <c r="B747" s="289" t="s">
        <v>3117</v>
      </c>
      <c r="C747" s="289" t="s">
        <v>668</v>
      </c>
      <c r="D747" s="289" t="s">
        <v>3118</v>
      </c>
      <c r="E747" s="289" t="s">
        <v>3119</v>
      </c>
      <c r="F747" s="289" t="s">
        <v>3120</v>
      </c>
      <c r="I747" s="289" t="str">
        <f>("0399876")</f>
        <v>0399876</v>
      </c>
    </row>
    <row r="748" spans="1:9">
      <c r="A748" s="290">
        <v>401757</v>
      </c>
      <c r="B748" s="289" t="s">
        <v>34</v>
      </c>
      <c r="C748" s="289" t="s">
        <v>35</v>
      </c>
      <c r="D748" s="289" t="s">
        <v>3121</v>
      </c>
      <c r="E748" s="289" t="s">
        <v>3122</v>
      </c>
      <c r="F748" s="289" t="s">
        <v>3123</v>
      </c>
      <c r="I748" s="289" t="str">
        <f>("0401757")</f>
        <v>0401757</v>
      </c>
    </row>
    <row r="749" spans="1:9">
      <c r="A749" s="290">
        <v>401803</v>
      </c>
      <c r="B749" s="289" t="s">
        <v>34</v>
      </c>
      <c r="C749" s="289" t="s">
        <v>35</v>
      </c>
      <c r="D749" s="289" t="s">
        <v>3124</v>
      </c>
      <c r="E749" s="289" t="s">
        <v>3125</v>
      </c>
      <c r="F749" s="289" t="s">
        <v>3126</v>
      </c>
      <c r="I749" s="289" t="str">
        <f>("0401803")</f>
        <v>0401803</v>
      </c>
    </row>
    <row r="750" spans="1:9">
      <c r="A750" s="290">
        <v>402736</v>
      </c>
      <c r="B750" s="289" t="s">
        <v>34</v>
      </c>
      <c r="C750" s="289" t="s">
        <v>35</v>
      </c>
      <c r="D750" s="289" t="s">
        <v>3157</v>
      </c>
      <c r="E750" s="289" t="s">
        <v>3158</v>
      </c>
      <c r="F750" s="289" t="s">
        <v>3159</v>
      </c>
      <c r="I750" s="289" t="str">
        <f>("0402736")</f>
        <v>0402736</v>
      </c>
    </row>
    <row r="751" spans="1:9">
      <c r="A751" s="290">
        <v>403546</v>
      </c>
      <c r="B751" s="289" t="s">
        <v>667</v>
      </c>
      <c r="C751" s="289" t="s">
        <v>668</v>
      </c>
      <c r="D751" s="289" t="s">
        <v>3160</v>
      </c>
      <c r="E751" s="289" t="s">
        <v>3161</v>
      </c>
      <c r="F751" s="289" t="s">
        <v>3162</v>
      </c>
      <c r="I751" s="289" t="str">
        <f>("0403546")</f>
        <v>0403546</v>
      </c>
    </row>
    <row r="752" spans="1:9">
      <c r="A752" s="290">
        <v>403568</v>
      </c>
      <c r="B752" s="289" t="s">
        <v>667</v>
      </c>
      <c r="C752" s="289" t="s">
        <v>668</v>
      </c>
      <c r="D752" s="289" t="s">
        <v>3163</v>
      </c>
      <c r="E752" s="289" t="s">
        <v>3164</v>
      </c>
      <c r="F752" s="289" t="s">
        <v>3165</v>
      </c>
      <c r="I752" s="289" t="str">
        <f>("0403568")</f>
        <v>0403568</v>
      </c>
    </row>
    <row r="753" spans="1:9">
      <c r="A753" s="290">
        <v>404132</v>
      </c>
      <c r="B753" s="289" t="s">
        <v>34</v>
      </c>
      <c r="C753" s="289" t="s">
        <v>35</v>
      </c>
      <c r="D753" s="289" t="s">
        <v>3166</v>
      </c>
      <c r="E753" s="289" t="s">
        <v>3167</v>
      </c>
      <c r="F753" s="289" t="s">
        <v>3168</v>
      </c>
      <c r="I753" s="289" t="str">
        <f>("0404132")</f>
        <v>0404132</v>
      </c>
    </row>
    <row r="754" spans="1:9">
      <c r="A754" s="290">
        <v>405548</v>
      </c>
      <c r="B754" s="289" t="s">
        <v>630</v>
      </c>
      <c r="C754" s="289" t="s">
        <v>30</v>
      </c>
      <c r="D754" s="289" t="s">
        <v>3181</v>
      </c>
      <c r="E754" s="289" t="s">
        <v>3182</v>
      </c>
      <c r="F754" s="289" t="s">
        <v>3183</v>
      </c>
      <c r="I754" s="289" t="str">
        <f>("0405548")</f>
        <v>0405548</v>
      </c>
    </row>
    <row r="755" spans="1:9">
      <c r="A755" s="290">
        <v>405582</v>
      </c>
      <c r="B755" s="289" t="s">
        <v>630</v>
      </c>
      <c r="C755" s="289" t="s">
        <v>30</v>
      </c>
      <c r="D755" s="289" t="s">
        <v>3184</v>
      </c>
      <c r="E755" s="289" t="s">
        <v>3185</v>
      </c>
      <c r="F755" s="289" t="s">
        <v>3186</v>
      </c>
      <c r="I755" s="289" t="str">
        <f>("0405582")</f>
        <v>0405582</v>
      </c>
    </row>
    <row r="756" spans="1:9">
      <c r="A756" s="290">
        <v>405661</v>
      </c>
      <c r="B756" s="289" t="s">
        <v>1537</v>
      </c>
      <c r="C756" s="289" t="s">
        <v>1543</v>
      </c>
      <c r="D756" s="289" t="s">
        <v>4969</v>
      </c>
      <c r="E756" s="289" t="s">
        <v>4970</v>
      </c>
      <c r="F756" s="289" t="s">
        <v>4971</v>
      </c>
      <c r="I756" s="289" t="str">
        <f>("0405661")</f>
        <v>0405661</v>
      </c>
    </row>
    <row r="757" spans="1:9">
      <c r="A757" s="290">
        <v>406279</v>
      </c>
      <c r="B757" s="289" t="s">
        <v>667</v>
      </c>
      <c r="C757" s="289" t="s">
        <v>668</v>
      </c>
      <c r="D757" s="289" t="s">
        <v>3195</v>
      </c>
      <c r="E757" s="289" t="s">
        <v>3196</v>
      </c>
      <c r="F757" s="289" t="s">
        <v>3197</v>
      </c>
      <c r="I757" s="289" t="str">
        <f>("0406279")</f>
        <v>0406279</v>
      </c>
    </row>
    <row r="758" spans="1:9">
      <c r="A758" s="290">
        <v>407663</v>
      </c>
      <c r="B758" s="289" t="s">
        <v>3117</v>
      </c>
      <c r="C758" s="289" t="s">
        <v>668</v>
      </c>
      <c r="D758" s="289" t="s">
        <v>3198</v>
      </c>
      <c r="E758" s="289" t="s">
        <v>3199</v>
      </c>
      <c r="F758" s="289" t="s">
        <v>3200</v>
      </c>
      <c r="I758" s="289" t="str">
        <f>("0407663")</f>
        <v>0407663</v>
      </c>
    </row>
    <row r="759" spans="1:9">
      <c r="A759" s="290">
        <v>408765</v>
      </c>
      <c r="B759" s="289" t="s">
        <v>667</v>
      </c>
      <c r="C759" s="289" t="s">
        <v>668</v>
      </c>
      <c r="D759" s="289" t="s">
        <v>3201</v>
      </c>
      <c r="E759" s="289" t="s">
        <v>3202</v>
      </c>
      <c r="F759" s="289" t="s">
        <v>3203</v>
      </c>
      <c r="I759" s="289" t="str">
        <f>("0408765")</f>
        <v>0408765</v>
      </c>
    </row>
    <row r="760" spans="1:9">
      <c r="A760" s="290">
        <v>408844</v>
      </c>
      <c r="B760" s="289" t="s">
        <v>667</v>
      </c>
      <c r="C760" s="289" t="s">
        <v>668</v>
      </c>
      <c r="D760" s="289" t="s">
        <v>3204</v>
      </c>
      <c r="E760" s="289" t="s">
        <v>3205</v>
      </c>
      <c r="F760" s="289" t="s">
        <v>3206</v>
      </c>
      <c r="I760" s="289" t="str">
        <f>("0408844")</f>
        <v>0408844</v>
      </c>
    </row>
    <row r="761" spans="1:9">
      <c r="A761" s="290">
        <v>408934</v>
      </c>
      <c r="B761" s="289" t="s">
        <v>667</v>
      </c>
      <c r="C761" s="289" t="s">
        <v>668</v>
      </c>
      <c r="D761" s="289" t="s">
        <v>3207</v>
      </c>
      <c r="E761" s="289" t="s">
        <v>3208</v>
      </c>
      <c r="F761" s="289" t="s">
        <v>3209</v>
      </c>
      <c r="I761" s="289" t="str">
        <f>("0408934")</f>
        <v>0408934</v>
      </c>
    </row>
    <row r="762" spans="1:9">
      <c r="A762" s="290">
        <v>409014</v>
      </c>
      <c r="B762" s="289" t="s">
        <v>667</v>
      </c>
      <c r="C762" s="289" t="s">
        <v>668</v>
      </c>
      <c r="D762" s="289" t="s">
        <v>3210</v>
      </c>
      <c r="E762" s="289" t="s">
        <v>3211</v>
      </c>
      <c r="F762" s="289" t="s">
        <v>3212</v>
      </c>
      <c r="I762" s="289" t="str">
        <f>("0409014")</f>
        <v>0409014</v>
      </c>
    </row>
    <row r="763" spans="1:9">
      <c r="A763" s="290">
        <v>409430</v>
      </c>
      <c r="B763" s="289" t="s">
        <v>34</v>
      </c>
      <c r="C763" s="289" t="s">
        <v>35</v>
      </c>
      <c r="D763" s="289" t="s">
        <v>3213</v>
      </c>
      <c r="E763" s="289" t="s">
        <v>3214</v>
      </c>
      <c r="F763" s="289" t="s">
        <v>3215</v>
      </c>
      <c r="I763" s="289" t="str">
        <f>("0409430")</f>
        <v>0409430</v>
      </c>
    </row>
    <row r="764" spans="1:9">
      <c r="A764" s="290">
        <v>409474</v>
      </c>
      <c r="B764" s="289" t="s">
        <v>34</v>
      </c>
      <c r="C764" s="289" t="s">
        <v>35</v>
      </c>
      <c r="D764" s="289" t="s">
        <v>3216</v>
      </c>
      <c r="E764" s="289" t="s">
        <v>3217</v>
      </c>
      <c r="F764" s="289" t="s">
        <v>3218</v>
      </c>
      <c r="I764" s="289" t="str">
        <f>("0409474")</f>
        <v>0409474</v>
      </c>
    </row>
    <row r="765" spans="1:9">
      <c r="A765" s="290">
        <v>409823</v>
      </c>
      <c r="B765" s="289" t="s">
        <v>630</v>
      </c>
      <c r="C765" s="289" t="s">
        <v>30</v>
      </c>
      <c r="D765" s="289" t="s">
        <v>3219</v>
      </c>
      <c r="E765" s="289" t="s">
        <v>3220</v>
      </c>
      <c r="F765" s="289" t="s">
        <v>3221</v>
      </c>
      <c r="I765" s="289" t="str">
        <f>("0409823")</f>
        <v>0409823</v>
      </c>
    </row>
    <row r="766" spans="1:9">
      <c r="A766" s="290">
        <v>409834</v>
      </c>
      <c r="B766" s="289" t="s">
        <v>630</v>
      </c>
      <c r="C766" s="289" t="s">
        <v>30</v>
      </c>
      <c r="D766" s="289" t="s">
        <v>3222</v>
      </c>
      <c r="E766" s="289" t="s">
        <v>3223</v>
      </c>
      <c r="F766" s="289" t="s">
        <v>3224</v>
      </c>
      <c r="I766" s="289" t="str">
        <f>("0409834")</f>
        <v>0409834</v>
      </c>
    </row>
    <row r="767" spans="1:9">
      <c r="A767" s="290">
        <v>409856</v>
      </c>
      <c r="B767" s="289" t="s">
        <v>630</v>
      </c>
      <c r="C767" s="289" t="s">
        <v>30</v>
      </c>
      <c r="D767" s="289" t="s">
        <v>5276</v>
      </c>
      <c r="E767" s="289" t="s">
        <v>5277</v>
      </c>
      <c r="F767" s="289" t="s">
        <v>5278</v>
      </c>
      <c r="I767" s="289" t="str">
        <f>("0409856")</f>
        <v>0409856</v>
      </c>
    </row>
    <row r="768" spans="1:9">
      <c r="A768" s="290">
        <v>409867</v>
      </c>
      <c r="B768" s="289" t="s">
        <v>630</v>
      </c>
      <c r="C768" s="289" t="s">
        <v>30</v>
      </c>
      <c r="D768" s="289" t="s">
        <v>3225</v>
      </c>
      <c r="E768" s="289" t="s">
        <v>3226</v>
      </c>
      <c r="F768" s="289" t="s">
        <v>3227</v>
      </c>
      <c r="I768" s="289" t="str">
        <f>("0409867")</f>
        <v>0409867</v>
      </c>
    </row>
    <row r="769" spans="1:9">
      <c r="A769" s="290">
        <v>409889</v>
      </c>
      <c r="B769" s="289" t="s">
        <v>630</v>
      </c>
      <c r="C769" s="289" t="s">
        <v>30</v>
      </c>
      <c r="D769" s="289" t="s">
        <v>3228</v>
      </c>
      <c r="E769" s="289" t="s">
        <v>3229</v>
      </c>
      <c r="F769" s="289" t="s">
        <v>3230</v>
      </c>
      <c r="I769" s="289" t="str">
        <f>("0409889")</f>
        <v>0409889</v>
      </c>
    </row>
    <row r="770" spans="1:9">
      <c r="A770" s="290">
        <v>411433</v>
      </c>
      <c r="B770" s="289" t="s">
        <v>34</v>
      </c>
      <c r="C770" s="289" t="s">
        <v>35</v>
      </c>
      <c r="D770" s="289" t="s">
        <v>3231</v>
      </c>
      <c r="E770" s="289" t="s">
        <v>3232</v>
      </c>
      <c r="F770" s="289" t="s">
        <v>3233</v>
      </c>
      <c r="I770" s="289" t="str">
        <f>("0411433")</f>
        <v>0411433</v>
      </c>
    </row>
    <row r="771" spans="1:9">
      <c r="A771" s="290">
        <v>411455</v>
      </c>
      <c r="B771" s="289" t="s">
        <v>34</v>
      </c>
      <c r="C771" s="289" t="s">
        <v>35</v>
      </c>
      <c r="D771" s="289" t="s">
        <v>3234</v>
      </c>
      <c r="E771" s="289" t="s">
        <v>3235</v>
      </c>
      <c r="F771" s="289" t="s">
        <v>3236</v>
      </c>
      <c r="I771" s="289" t="str">
        <f>("0411455")</f>
        <v>0411455</v>
      </c>
    </row>
    <row r="772" spans="1:9">
      <c r="A772" s="290">
        <v>411590</v>
      </c>
      <c r="B772" s="289" t="s">
        <v>34</v>
      </c>
      <c r="C772" s="289" t="s">
        <v>35</v>
      </c>
      <c r="D772" s="289" t="s">
        <v>3237</v>
      </c>
      <c r="E772" s="289" t="s">
        <v>3238</v>
      </c>
      <c r="F772" s="289" t="s">
        <v>3239</v>
      </c>
      <c r="I772" s="289" t="str">
        <f>("0411590")</f>
        <v>0411590</v>
      </c>
    </row>
    <row r="773" spans="1:9">
      <c r="A773" s="290">
        <v>414852</v>
      </c>
      <c r="B773" s="289" t="s">
        <v>667</v>
      </c>
      <c r="C773" s="289" t="s">
        <v>668</v>
      </c>
      <c r="D773" s="289" t="s">
        <v>3240</v>
      </c>
      <c r="E773" s="289" t="s">
        <v>3241</v>
      </c>
      <c r="F773" s="289" t="s">
        <v>3242</v>
      </c>
      <c r="I773" s="289" t="str">
        <f>("0414852")</f>
        <v>0414852</v>
      </c>
    </row>
    <row r="774" spans="1:9">
      <c r="A774" s="290">
        <v>415729</v>
      </c>
      <c r="B774" s="289" t="s">
        <v>34</v>
      </c>
      <c r="C774" s="289" t="s">
        <v>35</v>
      </c>
      <c r="D774" s="289" t="s">
        <v>3243</v>
      </c>
      <c r="E774" s="289" t="s">
        <v>3244</v>
      </c>
      <c r="F774" s="289" t="s">
        <v>3245</v>
      </c>
      <c r="I774" s="289" t="str">
        <f>("0415729")</f>
        <v>0415729</v>
      </c>
    </row>
    <row r="775" spans="1:9">
      <c r="A775" s="290">
        <v>415774</v>
      </c>
      <c r="B775" s="289" t="s">
        <v>34</v>
      </c>
      <c r="C775" s="289" t="s">
        <v>35</v>
      </c>
      <c r="D775" s="289" t="s">
        <v>4731</v>
      </c>
      <c r="E775" s="289" t="s">
        <v>4732</v>
      </c>
      <c r="F775" s="289" t="s">
        <v>4733</v>
      </c>
      <c r="I775" s="289" t="str">
        <f>("0415774")</f>
        <v>0415774</v>
      </c>
    </row>
    <row r="776" spans="1:9">
      <c r="A776" s="290">
        <v>415864</v>
      </c>
      <c r="B776" s="289" t="s">
        <v>34</v>
      </c>
      <c r="C776" s="289" t="s">
        <v>35</v>
      </c>
      <c r="D776" s="289" t="s">
        <v>3246</v>
      </c>
      <c r="E776" s="289" t="s">
        <v>3247</v>
      </c>
      <c r="F776" s="289" t="s">
        <v>3248</v>
      </c>
      <c r="I776" s="289" t="str">
        <f>("0415864")</f>
        <v>0415864</v>
      </c>
    </row>
    <row r="777" spans="1:9">
      <c r="A777" s="290">
        <v>415943</v>
      </c>
      <c r="B777" s="289" t="s">
        <v>34</v>
      </c>
      <c r="C777" s="289" t="s">
        <v>35</v>
      </c>
      <c r="D777" s="289" t="s">
        <v>3249</v>
      </c>
      <c r="E777" s="289" t="s">
        <v>3249</v>
      </c>
      <c r="F777" s="289" t="s">
        <v>3250</v>
      </c>
      <c r="I777" s="289" t="str">
        <f>("0415943")</f>
        <v>0415943</v>
      </c>
    </row>
    <row r="778" spans="1:9">
      <c r="A778" s="290">
        <v>417046</v>
      </c>
      <c r="B778" s="289" t="s">
        <v>1537</v>
      </c>
      <c r="C778" s="289" t="s">
        <v>1543</v>
      </c>
      <c r="D778" s="289" t="s">
        <v>3251</v>
      </c>
      <c r="E778" s="289" t="s">
        <v>3252</v>
      </c>
      <c r="F778" s="289" t="s">
        <v>3253</v>
      </c>
      <c r="I778" s="289" t="str">
        <f>("0417046")</f>
        <v>0417046</v>
      </c>
    </row>
    <row r="779" spans="1:9">
      <c r="A779" s="290">
        <v>417068</v>
      </c>
      <c r="B779" s="289" t="s">
        <v>1537</v>
      </c>
      <c r="C779" s="289" t="s">
        <v>1543</v>
      </c>
      <c r="D779" s="289" t="s">
        <v>3254</v>
      </c>
      <c r="E779" s="289" t="s">
        <v>3255</v>
      </c>
      <c r="F779" s="289" t="s">
        <v>3256</v>
      </c>
      <c r="I779" s="289" t="str">
        <f>("0417068")</f>
        <v>0417068</v>
      </c>
    </row>
    <row r="780" spans="1:9">
      <c r="A780" s="290">
        <v>417169</v>
      </c>
      <c r="B780" s="289" t="s">
        <v>34</v>
      </c>
      <c r="C780" s="289" t="s">
        <v>35</v>
      </c>
      <c r="D780" s="289" t="s">
        <v>4734</v>
      </c>
      <c r="E780" s="289" t="s">
        <v>4735</v>
      </c>
      <c r="F780" s="289" t="s">
        <v>4736</v>
      </c>
      <c r="I780" s="289" t="str">
        <f>("0417169")</f>
        <v>0417169</v>
      </c>
    </row>
    <row r="781" spans="1:9">
      <c r="A781" s="290">
        <v>417259</v>
      </c>
      <c r="B781" s="289" t="s">
        <v>667</v>
      </c>
      <c r="C781" s="289" t="s">
        <v>668</v>
      </c>
      <c r="D781" s="289" t="s">
        <v>3257</v>
      </c>
      <c r="E781" s="289" t="s">
        <v>3258</v>
      </c>
      <c r="F781" s="289" t="s">
        <v>3259</v>
      </c>
      <c r="I781" s="289" t="str">
        <f>("0417259")</f>
        <v>0417259</v>
      </c>
    </row>
    <row r="782" spans="1:9">
      <c r="A782" s="290">
        <v>417260</v>
      </c>
      <c r="B782" s="289" t="s">
        <v>34</v>
      </c>
      <c r="C782" s="289" t="s">
        <v>35</v>
      </c>
      <c r="D782" s="289" t="s">
        <v>3260</v>
      </c>
      <c r="E782" s="289" t="s">
        <v>3261</v>
      </c>
      <c r="F782" s="289" t="s">
        <v>3262</v>
      </c>
      <c r="I782" s="289" t="str">
        <f>("0417260")</f>
        <v>0417260</v>
      </c>
    </row>
    <row r="783" spans="1:9">
      <c r="A783" s="290">
        <v>417282</v>
      </c>
      <c r="B783" s="289" t="s">
        <v>667</v>
      </c>
      <c r="C783" s="289" t="s">
        <v>668</v>
      </c>
      <c r="D783" s="289" t="s">
        <v>3263</v>
      </c>
      <c r="E783" s="289" t="s">
        <v>3264</v>
      </c>
      <c r="F783" s="289" t="s">
        <v>3265</v>
      </c>
      <c r="I783" s="289" t="str">
        <f>("0417282")</f>
        <v>0417282</v>
      </c>
    </row>
    <row r="784" spans="1:9">
      <c r="A784" s="290">
        <v>418722</v>
      </c>
      <c r="B784" s="289" t="s">
        <v>667</v>
      </c>
      <c r="C784" s="289" t="s">
        <v>668</v>
      </c>
      <c r="D784" s="289" t="s">
        <v>3294</v>
      </c>
      <c r="E784" s="289" t="s">
        <v>3295</v>
      </c>
      <c r="F784" s="289" t="s">
        <v>3296</v>
      </c>
      <c r="I784" s="289" t="str">
        <f>("0418722")</f>
        <v>0418722</v>
      </c>
    </row>
    <row r="785" spans="1:9">
      <c r="A785" s="290">
        <v>419060</v>
      </c>
      <c r="B785" s="289" t="s">
        <v>3117</v>
      </c>
      <c r="C785" s="289" t="s">
        <v>668</v>
      </c>
      <c r="D785" s="289" t="s">
        <v>3297</v>
      </c>
      <c r="E785" s="289" t="s">
        <v>3298</v>
      </c>
      <c r="F785" s="289" t="s">
        <v>3299</v>
      </c>
      <c r="I785" s="289" t="str">
        <f>("0419060")</f>
        <v>0419060</v>
      </c>
    </row>
    <row r="786" spans="1:9">
      <c r="A786" s="290">
        <v>419071</v>
      </c>
      <c r="B786" s="289" t="s">
        <v>3117</v>
      </c>
      <c r="C786" s="289" t="s">
        <v>668</v>
      </c>
      <c r="D786" s="289" t="s">
        <v>3300</v>
      </c>
      <c r="E786" s="289" t="s">
        <v>3301</v>
      </c>
      <c r="F786" s="289" t="s">
        <v>3302</v>
      </c>
      <c r="I786" s="289" t="str">
        <f>("0419071")</f>
        <v>0419071</v>
      </c>
    </row>
    <row r="787" spans="1:9">
      <c r="A787" s="290">
        <v>419082</v>
      </c>
      <c r="B787" s="289" t="s">
        <v>3117</v>
      </c>
      <c r="C787" s="289" t="s">
        <v>668</v>
      </c>
      <c r="D787" s="289" t="s">
        <v>3303</v>
      </c>
      <c r="E787" s="289" t="s">
        <v>3304</v>
      </c>
      <c r="F787" s="289" t="s">
        <v>3305</v>
      </c>
      <c r="I787" s="289" t="str">
        <f>("0419082")</f>
        <v>0419082</v>
      </c>
    </row>
    <row r="788" spans="1:9">
      <c r="A788" s="290">
        <v>419093</v>
      </c>
      <c r="B788" s="289" t="s">
        <v>3117</v>
      </c>
      <c r="C788" s="289" t="s">
        <v>668</v>
      </c>
      <c r="D788" s="289" t="s">
        <v>3306</v>
      </c>
      <c r="E788" s="289" t="s">
        <v>3307</v>
      </c>
      <c r="F788" s="289" t="s">
        <v>3308</v>
      </c>
      <c r="I788" s="289" t="str">
        <f>("0419093")</f>
        <v>0419093</v>
      </c>
    </row>
    <row r="789" spans="1:9">
      <c r="A789" s="290">
        <v>419116</v>
      </c>
      <c r="B789" s="289" t="s">
        <v>3117</v>
      </c>
      <c r="C789" s="289" t="s">
        <v>668</v>
      </c>
      <c r="D789" s="289" t="s">
        <v>3309</v>
      </c>
      <c r="E789" s="289" t="s">
        <v>3310</v>
      </c>
      <c r="F789" s="289" t="s">
        <v>3311</v>
      </c>
      <c r="I789" s="289" t="str">
        <f>("0419116")</f>
        <v>0419116</v>
      </c>
    </row>
    <row r="790" spans="1:9">
      <c r="A790" s="290">
        <v>419127</v>
      </c>
      <c r="B790" s="289" t="s">
        <v>3117</v>
      </c>
      <c r="C790" s="289" t="s">
        <v>668</v>
      </c>
      <c r="D790" s="289" t="s">
        <v>3312</v>
      </c>
      <c r="E790" s="289" t="s">
        <v>3313</v>
      </c>
      <c r="F790" s="289" t="s">
        <v>4976</v>
      </c>
      <c r="I790" s="289" t="str">
        <f>("0419127")</f>
        <v>0419127</v>
      </c>
    </row>
    <row r="791" spans="1:9">
      <c r="A791" s="290">
        <v>419138</v>
      </c>
      <c r="B791" s="289" t="s">
        <v>3117</v>
      </c>
      <c r="C791" s="289" t="s">
        <v>668</v>
      </c>
      <c r="D791" s="289" t="s">
        <v>3314</v>
      </c>
      <c r="E791" s="289" t="s">
        <v>3315</v>
      </c>
      <c r="F791" s="289" t="s">
        <v>3316</v>
      </c>
      <c r="I791" s="289" t="str">
        <f>("0419138")</f>
        <v>0419138</v>
      </c>
    </row>
    <row r="792" spans="1:9">
      <c r="A792" s="290">
        <v>419149</v>
      </c>
      <c r="B792" s="289" t="s">
        <v>3117</v>
      </c>
      <c r="C792" s="289" t="s">
        <v>668</v>
      </c>
      <c r="D792" s="289" t="s">
        <v>3317</v>
      </c>
      <c r="E792" s="289" t="s">
        <v>3318</v>
      </c>
      <c r="F792" s="289" t="s">
        <v>3319</v>
      </c>
      <c r="I792" s="289" t="str">
        <f>("0419149")</f>
        <v>0419149</v>
      </c>
    </row>
    <row r="793" spans="1:9">
      <c r="A793" s="290">
        <v>419150</v>
      </c>
      <c r="B793" s="289" t="s">
        <v>3117</v>
      </c>
      <c r="C793" s="289" t="s">
        <v>668</v>
      </c>
      <c r="D793" s="289" t="s">
        <v>3320</v>
      </c>
      <c r="E793" s="289" t="s">
        <v>3321</v>
      </c>
      <c r="F793" s="289" t="s">
        <v>3322</v>
      </c>
      <c r="I793" s="289" t="str">
        <f>("0419150")</f>
        <v>0419150</v>
      </c>
    </row>
    <row r="794" spans="1:9">
      <c r="A794" s="290">
        <v>419161</v>
      </c>
      <c r="B794" s="289" t="s">
        <v>3117</v>
      </c>
      <c r="C794" s="289" t="s">
        <v>668</v>
      </c>
      <c r="D794" s="289" t="s">
        <v>3323</v>
      </c>
      <c r="E794" s="289" t="s">
        <v>3324</v>
      </c>
      <c r="F794" s="289" t="s">
        <v>3325</v>
      </c>
      <c r="I794" s="289" t="str">
        <f>("0419161")</f>
        <v>0419161</v>
      </c>
    </row>
    <row r="795" spans="1:9">
      <c r="A795" s="290">
        <v>419183</v>
      </c>
      <c r="B795" s="289" t="s">
        <v>3117</v>
      </c>
      <c r="C795" s="289" t="s">
        <v>668</v>
      </c>
      <c r="D795" s="289" t="s">
        <v>3326</v>
      </c>
      <c r="E795" s="289" t="s">
        <v>3327</v>
      </c>
      <c r="F795" s="289" t="s">
        <v>3328</v>
      </c>
      <c r="I795" s="289" t="str">
        <f>("0419183")</f>
        <v>0419183</v>
      </c>
    </row>
    <row r="796" spans="1:9">
      <c r="A796" s="290">
        <v>419194</v>
      </c>
      <c r="B796" s="289" t="s">
        <v>3117</v>
      </c>
      <c r="C796" s="289" t="s">
        <v>668</v>
      </c>
      <c r="D796" s="289" t="s">
        <v>3329</v>
      </c>
      <c r="E796" s="289" t="s">
        <v>3330</v>
      </c>
      <c r="F796" s="289" t="s">
        <v>3331</v>
      </c>
      <c r="I796" s="289" t="str">
        <f>("0419194")</f>
        <v>0419194</v>
      </c>
    </row>
    <row r="797" spans="1:9">
      <c r="A797" s="290">
        <v>419206</v>
      </c>
      <c r="B797" s="289" t="s">
        <v>3117</v>
      </c>
      <c r="C797" s="289" t="s">
        <v>668</v>
      </c>
      <c r="D797" s="289" t="s">
        <v>3332</v>
      </c>
      <c r="E797" s="289" t="s">
        <v>3333</v>
      </c>
      <c r="F797" s="289" t="s">
        <v>3334</v>
      </c>
      <c r="I797" s="289" t="str">
        <f>("0419206")</f>
        <v>0419206</v>
      </c>
    </row>
    <row r="798" spans="1:9">
      <c r="A798" s="290">
        <v>419217</v>
      </c>
      <c r="B798" s="289" t="s">
        <v>3117</v>
      </c>
      <c r="C798" s="289" t="s">
        <v>668</v>
      </c>
      <c r="D798" s="289" t="s">
        <v>3335</v>
      </c>
      <c r="E798" s="289" t="s">
        <v>3336</v>
      </c>
      <c r="F798" s="289" t="s">
        <v>3337</v>
      </c>
      <c r="I798" s="289" t="str">
        <f>("0419217")</f>
        <v>0419217</v>
      </c>
    </row>
    <row r="799" spans="1:9">
      <c r="A799" s="290">
        <v>419228</v>
      </c>
      <c r="B799" s="289" t="s">
        <v>3117</v>
      </c>
      <c r="C799" s="289" t="s">
        <v>668</v>
      </c>
      <c r="D799" s="289" t="s">
        <v>3338</v>
      </c>
      <c r="E799" s="289" t="s">
        <v>3339</v>
      </c>
      <c r="F799" s="289" t="s">
        <v>3340</v>
      </c>
      <c r="I799" s="289" t="str">
        <f>("0419228")</f>
        <v>0419228</v>
      </c>
    </row>
    <row r="800" spans="1:9">
      <c r="A800" s="290">
        <v>419239</v>
      </c>
      <c r="B800" s="289" t="s">
        <v>3117</v>
      </c>
      <c r="C800" s="289" t="s">
        <v>668</v>
      </c>
      <c r="D800" s="289" t="s">
        <v>3341</v>
      </c>
      <c r="E800" s="289" t="s">
        <v>3342</v>
      </c>
      <c r="F800" s="289" t="s">
        <v>3343</v>
      </c>
      <c r="I800" s="289" t="str">
        <f>("0419239")</f>
        <v>0419239</v>
      </c>
    </row>
    <row r="801" spans="1:9">
      <c r="A801" s="290">
        <v>419240</v>
      </c>
      <c r="B801" s="289" t="s">
        <v>3117</v>
      </c>
      <c r="C801" s="289" t="s">
        <v>668</v>
      </c>
      <c r="D801" s="289" t="s">
        <v>3344</v>
      </c>
      <c r="E801" s="289" t="s">
        <v>3345</v>
      </c>
      <c r="F801" s="289" t="s">
        <v>3346</v>
      </c>
      <c r="I801" s="289" t="str">
        <f>("0419240")</f>
        <v>0419240</v>
      </c>
    </row>
    <row r="802" spans="1:9">
      <c r="A802" s="290">
        <v>419251</v>
      </c>
      <c r="B802" s="289" t="s">
        <v>3117</v>
      </c>
      <c r="C802" s="289" t="s">
        <v>668</v>
      </c>
      <c r="D802" s="289" t="s">
        <v>3347</v>
      </c>
      <c r="E802" s="289" t="s">
        <v>3348</v>
      </c>
      <c r="F802" s="289" t="s">
        <v>3349</v>
      </c>
      <c r="I802" s="289" t="str">
        <f>("0419251")</f>
        <v>0419251</v>
      </c>
    </row>
    <row r="803" spans="1:9">
      <c r="A803" s="290">
        <v>419262</v>
      </c>
      <c r="B803" s="289" t="s">
        <v>3117</v>
      </c>
      <c r="C803" s="289" t="s">
        <v>668</v>
      </c>
      <c r="D803" s="289" t="s">
        <v>3350</v>
      </c>
      <c r="E803" s="289" t="s">
        <v>3351</v>
      </c>
      <c r="F803" s="289" t="s">
        <v>3352</v>
      </c>
      <c r="I803" s="289" t="str">
        <f>("0419262")</f>
        <v>0419262</v>
      </c>
    </row>
    <row r="804" spans="1:9">
      <c r="A804" s="290">
        <v>419329</v>
      </c>
      <c r="B804" s="289" t="s">
        <v>667</v>
      </c>
      <c r="C804" s="289" t="s">
        <v>668</v>
      </c>
      <c r="D804" s="289" t="s">
        <v>3353</v>
      </c>
      <c r="E804" s="289" t="s">
        <v>3354</v>
      </c>
      <c r="F804" s="289" t="s">
        <v>3355</v>
      </c>
      <c r="I804" s="289" t="str">
        <f>("0419329")</f>
        <v>0419329</v>
      </c>
    </row>
    <row r="805" spans="1:9">
      <c r="A805" s="290">
        <v>419330</v>
      </c>
      <c r="B805" s="289" t="s">
        <v>3117</v>
      </c>
      <c r="C805" s="289" t="s">
        <v>668</v>
      </c>
      <c r="D805" s="289" t="s">
        <v>3356</v>
      </c>
      <c r="E805" s="289" t="s">
        <v>3357</v>
      </c>
      <c r="F805" s="289" t="s">
        <v>3358</v>
      </c>
      <c r="I805" s="289" t="str">
        <f>("0419330")</f>
        <v>0419330</v>
      </c>
    </row>
    <row r="806" spans="1:9">
      <c r="A806" s="290">
        <v>419587</v>
      </c>
      <c r="B806" s="289" t="s">
        <v>3117</v>
      </c>
      <c r="C806" s="289" t="s">
        <v>668</v>
      </c>
      <c r="D806" s="289" t="s">
        <v>3359</v>
      </c>
      <c r="E806" s="289" t="s">
        <v>3360</v>
      </c>
      <c r="F806" s="289" t="s">
        <v>3361</v>
      </c>
      <c r="I806" s="289" t="str">
        <f>("0419587")</f>
        <v>0419587</v>
      </c>
    </row>
    <row r="807" spans="1:9">
      <c r="A807" s="290">
        <v>419688</v>
      </c>
      <c r="B807" s="289" t="s">
        <v>667</v>
      </c>
      <c r="C807" s="289" t="s">
        <v>668</v>
      </c>
      <c r="D807" s="289" t="s">
        <v>4977</v>
      </c>
      <c r="E807" s="289" t="s">
        <v>3362</v>
      </c>
      <c r="F807" s="289" t="s">
        <v>3363</v>
      </c>
      <c r="I807" s="289" t="str">
        <f>("0419688")</f>
        <v>0419688</v>
      </c>
    </row>
    <row r="808" spans="1:9">
      <c r="A808" s="290">
        <v>419723</v>
      </c>
      <c r="B808" s="289" t="s">
        <v>3117</v>
      </c>
      <c r="C808" s="289" t="s">
        <v>668</v>
      </c>
      <c r="D808" s="289" t="s">
        <v>3364</v>
      </c>
      <c r="E808" s="289" t="s">
        <v>3365</v>
      </c>
      <c r="F808" s="289" t="s">
        <v>3366</v>
      </c>
      <c r="I808" s="289" t="str">
        <f>("0419723")</f>
        <v>0419723</v>
      </c>
    </row>
    <row r="809" spans="1:9">
      <c r="A809" s="290">
        <v>420039</v>
      </c>
      <c r="B809" s="289" t="s">
        <v>29</v>
      </c>
      <c r="C809" s="289" t="s">
        <v>212</v>
      </c>
      <c r="D809" s="289" t="s">
        <v>3367</v>
      </c>
      <c r="E809" s="289" t="s">
        <v>3368</v>
      </c>
      <c r="F809" s="289" t="s">
        <v>3369</v>
      </c>
      <c r="I809" s="289" t="str">
        <f>("0420039")</f>
        <v>0420039</v>
      </c>
    </row>
    <row r="810" spans="1:9">
      <c r="A810" s="290">
        <v>422895</v>
      </c>
      <c r="B810" s="289" t="s">
        <v>34</v>
      </c>
      <c r="C810" s="289" t="s">
        <v>184</v>
      </c>
      <c r="D810" s="289" t="s">
        <v>3382</v>
      </c>
      <c r="E810" s="289" t="s">
        <v>3383</v>
      </c>
      <c r="F810" s="289" t="s">
        <v>3384</v>
      </c>
      <c r="I810" s="289" t="str">
        <f>("0422895")</f>
        <v>0422895</v>
      </c>
    </row>
    <row r="811" spans="1:9">
      <c r="A811" s="290">
        <v>424493</v>
      </c>
      <c r="B811" s="289" t="s">
        <v>34</v>
      </c>
      <c r="C811" s="289" t="s">
        <v>35</v>
      </c>
      <c r="D811" s="289" t="s">
        <v>3385</v>
      </c>
      <c r="E811" s="289" t="s">
        <v>3386</v>
      </c>
      <c r="F811" s="289" t="s">
        <v>3387</v>
      </c>
      <c r="I811" s="289" t="str">
        <f>("0424493")</f>
        <v>0424493</v>
      </c>
    </row>
    <row r="812" spans="1:9">
      <c r="A812" s="290">
        <v>424729</v>
      </c>
      <c r="B812" s="289" t="s">
        <v>34</v>
      </c>
      <c r="C812" s="289" t="s">
        <v>35</v>
      </c>
      <c r="D812" s="289" t="s">
        <v>4737</v>
      </c>
      <c r="E812" s="289" t="s">
        <v>5279</v>
      </c>
      <c r="F812" s="289" t="s">
        <v>4738</v>
      </c>
      <c r="I812" s="289" t="str">
        <f>("0424729")</f>
        <v>0424729</v>
      </c>
    </row>
    <row r="813" spans="1:9">
      <c r="A813" s="290">
        <v>424853</v>
      </c>
      <c r="B813" s="289" t="s">
        <v>34</v>
      </c>
      <c r="C813" s="289" t="s">
        <v>35</v>
      </c>
      <c r="D813" s="289" t="s">
        <v>3388</v>
      </c>
      <c r="E813" s="289" t="s">
        <v>3389</v>
      </c>
      <c r="F813" s="289" t="s">
        <v>3390</v>
      </c>
      <c r="I813" s="289" t="str">
        <f>("0424853")</f>
        <v>0424853</v>
      </c>
    </row>
    <row r="814" spans="1:9">
      <c r="A814" s="290">
        <v>424965</v>
      </c>
      <c r="B814" s="289" t="s">
        <v>667</v>
      </c>
      <c r="C814" s="289" t="s">
        <v>668</v>
      </c>
      <c r="D814" s="289" t="s">
        <v>3391</v>
      </c>
      <c r="E814" s="289" t="s">
        <v>3391</v>
      </c>
      <c r="F814" s="289" t="s">
        <v>3392</v>
      </c>
      <c r="I814" s="289" t="str">
        <f>("0424965")</f>
        <v>0424965</v>
      </c>
    </row>
    <row r="815" spans="1:9">
      <c r="A815" s="290">
        <v>425090</v>
      </c>
      <c r="B815" s="289" t="s">
        <v>34</v>
      </c>
      <c r="C815" s="289" t="s">
        <v>35</v>
      </c>
      <c r="D815" s="289" t="s">
        <v>3393</v>
      </c>
      <c r="E815" s="289" t="s">
        <v>3394</v>
      </c>
      <c r="F815" s="289" t="s">
        <v>4978</v>
      </c>
      <c r="I815" s="289" t="str">
        <f>("0425090")</f>
        <v>0425090</v>
      </c>
    </row>
    <row r="816" spans="1:9">
      <c r="A816" s="290">
        <v>425528</v>
      </c>
      <c r="B816" s="289" t="s">
        <v>667</v>
      </c>
      <c r="C816" s="289" t="s">
        <v>668</v>
      </c>
      <c r="D816" s="289" t="s">
        <v>650</v>
      </c>
      <c r="E816" s="289" t="s">
        <v>651</v>
      </c>
      <c r="F816" s="289" t="s">
        <v>652</v>
      </c>
      <c r="I816" s="289" t="str">
        <f>("0425528")</f>
        <v>0425528</v>
      </c>
    </row>
    <row r="817" spans="1:9">
      <c r="A817" s="290">
        <v>425832</v>
      </c>
      <c r="B817" s="289" t="s">
        <v>630</v>
      </c>
      <c r="C817" s="289" t="s">
        <v>30</v>
      </c>
      <c r="D817" s="289" t="s">
        <v>3395</v>
      </c>
      <c r="E817" s="289" t="s">
        <v>3396</v>
      </c>
      <c r="F817" s="289" t="s">
        <v>3397</v>
      </c>
      <c r="I817" s="289" t="str">
        <f>("0425832")</f>
        <v>0425832</v>
      </c>
    </row>
    <row r="818" spans="1:9">
      <c r="A818" s="290">
        <v>425887</v>
      </c>
      <c r="B818" s="289" t="s">
        <v>630</v>
      </c>
      <c r="C818" s="289" t="s">
        <v>30</v>
      </c>
      <c r="D818" s="289" t="s">
        <v>3398</v>
      </c>
      <c r="E818" s="289" t="s">
        <v>3399</v>
      </c>
      <c r="F818" s="289" t="s">
        <v>3400</v>
      </c>
      <c r="I818" s="289" t="str">
        <f>("0425887")</f>
        <v>0425887</v>
      </c>
    </row>
    <row r="819" spans="1:9">
      <c r="A819" s="290">
        <v>425898</v>
      </c>
      <c r="B819" s="289" t="s">
        <v>630</v>
      </c>
      <c r="C819" s="289" t="s">
        <v>30</v>
      </c>
      <c r="D819" s="289" t="s">
        <v>3195</v>
      </c>
      <c r="E819" s="289" t="s">
        <v>3196</v>
      </c>
      <c r="F819" s="289" t="s">
        <v>3197</v>
      </c>
      <c r="I819" s="289" t="str">
        <f>("0425898")</f>
        <v>0425898</v>
      </c>
    </row>
    <row r="820" spans="1:9">
      <c r="A820" s="290">
        <v>425900</v>
      </c>
      <c r="B820" s="289" t="s">
        <v>630</v>
      </c>
      <c r="C820" s="289" t="s">
        <v>30</v>
      </c>
      <c r="D820" s="289" t="s">
        <v>3401</v>
      </c>
      <c r="E820" s="289" t="s">
        <v>3402</v>
      </c>
      <c r="F820" s="289" t="s">
        <v>3403</v>
      </c>
      <c r="I820" s="289" t="str">
        <f>("0425900")</f>
        <v>0425900</v>
      </c>
    </row>
    <row r="821" spans="1:9">
      <c r="A821" s="290">
        <v>425911</v>
      </c>
      <c r="B821" s="289" t="s">
        <v>630</v>
      </c>
      <c r="C821" s="289" t="s">
        <v>30</v>
      </c>
      <c r="D821" s="289" t="s">
        <v>3404</v>
      </c>
      <c r="E821" s="289" t="s">
        <v>3405</v>
      </c>
      <c r="F821" s="289" t="s">
        <v>3406</v>
      </c>
      <c r="I821" s="289" t="str">
        <f>("0425911")</f>
        <v>0425911</v>
      </c>
    </row>
    <row r="822" spans="1:9">
      <c r="A822" s="290">
        <v>425922</v>
      </c>
      <c r="B822" s="289" t="s">
        <v>630</v>
      </c>
      <c r="C822" s="289" t="s">
        <v>30</v>
      </c>
      <c r="D822" s="289" t="s">
        <v>3407</v>
      </c>
      <c r="E822" s="289" t="s">
        <v>3408</v>
      </c>
      <c r="F822" s="289" t="s">
        <v>3409</v>
      </c>
      <c r="I822" s="289" t="str">
        <f>("0425922")</f>
        <v>0425922</v>
      </c>
    </row>
    <row r="823" spans="1:9">
      <c r="A823" s="290">
        <v>426181</v>
      </c>
      <c r="B823" s="289" t="s">
        <v>34</v>
      </c>
      <c r="C823" s="289" t="s">
        <v>35</v>
      </c>
      <c r="D823" s="289" t="s">
        <v>3410</v>
      </c>
      <c r="E823" s="289" t="s">
        <v>3411</v>
      </c>
      <c r="F823" s="289" t="s">
        <v>3412</v>
      </c>
      <c r="I823" s="289" t="str">
        <f>("0426181")</f>
        <v>0426181</v>
      </c>
    </row>
    <row r="824" spans="1:9">
      <c r="A824" s="290">
        <v>427159</v>
      </c>
      <c r="B824" s="289" t="s">
        <v>34</v>
      </c>
      <c r="C824" s="289" t="s">
        <v>35</v>
      </c>
      <c r="D824" s="289" t="s">
        <v>3414</v>
      </c>
      <c r="E824" s="289" t="s">
        <v>3415</v>
      </c>
      <c r="F824" s="289" t="s">
        <v>3416</v>
      </c>
      <c r="I824" s="289" t="str">
        <f>("0427159")</f>
        <v>0427159</v>
      </c>
    </row>
    <row r="825" spans="1:9">
      <c r="A825" s="290">
        <v>427272</v>
      </c>
      <c r="B825" s="289" t="s">
        <v>34</v>
      </c>
      <c r="C825" s="289" t="s">
        <v>35</v>
      </c>
      <c r="D825" s="289" t="s">
        <v>3417</v>
      </c>
      <c r="E825" s="289" t="s">
        <v>3418</v>
      </c>
      <c r="F825" s="289" t="s">
        <v>3419</v>
      </c>
      <c r="I825" s="289" t="str">
        <f>("0427272")</f>
        <v>0427272</v>
      </c>
    </row>
    <row r="826" spans="1:9">
      <c r="A826" s="290">
        <v>428712</v>
      </c>
      <c r="B826" s="289" t="s">
        <v>667</v>
      </c>
      <c r="C826" s="289" t="s">
        <v>668</v>
      </c>
      <c r="D826" s="289" t="s">
        <v>3404</v>
      </c>
      <c r="E826" s="289" t="s">
        <v>3405</v>
      </c>
      <c r="F826" s="289" t="s">
        <v>3406</v>
      </c>
      <c r="I826" s="289" t="str">
        <f>("0428712")</f>
        <v>0428712</v>
      </c>
    </row>
    <row r="827" spans="1:9">
      <c r="A827" s="290">
        <v>431570</v>
      </c>
      <c r="B827" s="289" t="s">
        <v>1537</v>
      </c>
      <c r="C827" s="289" t="s">
        <v>1539</v>
      </c>
      <c r="D827" s="289" t="s">
        <v>4739</v>
      </c>
      <c r="E827" s="289" t="s">
        <v>4740</v>
      </c>
      <c r="F827" s="289" t="s">
        <v>3420</v>
      </c>
      <c r="I827" s="289" t="str">
        <f>("0431570")</f>
        <v>0431570</v>
      </c>
    </row>
    <row r="828" spans="1:9">
      <c r="A828" s="290">
        <v>432021</v>
      </c>
      <c r="B828" s="289" t="s">
        <v>34</v>
      </c>
      <c r="C828" s="289" t="s">
        <v>35</v>
      </c>
      <c r="D828" s="289" t="s">
        <v>3421</v>
      </c>
      <c r="E828" s="289" t="s">
        <v>3422</v>
      </c>
      <c r="F828" s="289" t="s">
        <v>3423</v>
      </c>
      <c r="I828" s="289" t="str">
        <f>("0432021")</f>
        <v>0432021</v>
      </c>
    </row>
    <row r="829" spans="1:9">
      <c r="A829" s="290">
        <v>432054</v>
      </c>
      <c r="B829" s="289" t="s">
        <v>34</v>
      </c>
      <c r="C829" s="289" t="s">
        <v>35</v>
      </c>
      <c r="D829" s="289" t="s">
        <v>3424</v>
      </c>
      <c r="E829" s="289" t="s">
        <v>3425</v>
      </c>
      <c r="F829" s="289" t="s">
        <v>3426</v>
      </c>
      <c r="I829" s="289" t="str">
        <f>("0432054")</f>
        <v>0432054</v>
      </c>
    </row>
    <row r="830" spans="1:9">
      <c r="A830" s="290">
        <v>432087</v>
      </c>
      <c r="B830" s="289" t="s">
        <v>34</v>
      </c>
      <c r="C830" s="289" t="s">
        <v>35</v>
      </c>
      <c r="D830" s="289" t="s">
        <v>3427</v>
      </c>
      <c r="E830" s="289" t="s">
        <v>3428</v>
      </c>
      <c r="F830" s="289" t="s">
        <v>3429</v>
      </c>
      <c r="I830" s="289" t="str">
        <f>("0432087")</f>
        <v>0432087</v>
      </c>
    </row>
    <row r="831" spans="1:9">
      <c r="A831" s="290">
        <v>432111</v>
      </c>
      <c r="B831" s="289" t="s">
        <v>34</v>
      </c>
      <c r="C831" s="289" t="s">
        <v>35</v>
      </c>
      <c r="D831" s="289" t="s">
        <v>3430</v>
      </c>
      <c r="E831" s="289" t="s">
        <v>3431</v>
      </c>
      <c r="F831" s="289" t="s">
        <v>3432</v>
      </c>
      <c r="I831" s="289" t="str">
        <f>("0432111")</f>
        <v>0432111</v>
      </c>
    </row>
    <row r="832" spans="1:9">
      <c r="A832" s="290">
        <v>432122</v>
      </c>
      <c r="B832" s="289" t="s">
        <v>34</v>
      </c>
      <c r="C832" s="289" t="s">
        <v>35</v>
      </c>
      <c r="D832" s="289" t="s">
        <v>3433</v>
      </c>
      <c r="E832" s="289" t="s">
        <v>3434</v>
      </c>
      <c r="F832" s="289" t="s">
        <v>3435</v>
      </c>
      <c r="I832" s="289" t="str">
        <f>("0432122")</f>
        <v>0432122</v>
      </c>
    </row>
    <row r="833" spans="1:9">
      <c r="A833" s="290">
        <v>433189</v>
      </c>
      <c r="B833" s="289" t="s">
        <v>29</v>
      </c>
      <c r="C833" s="289" t="s">
        <v>212</v>
      </c>
      <c r="D833" s="289" t="s">
        <v>3436</v>
      </c>
      <c r="E833" s="289" t="s">
        <v>3437</v>
      </c>
      <c r="F833" s="289" t="s">
        <v>3438</v>
      </c>
      <c r="I833" s="289" t="str">
        <f>("0433189")</f>
        <v>0433189</v>
      </c>
    </row>
    <row r="834" spans="1:9">
      <c r="A834" s="290">
        <v>433718</v>
      </c>
      <c r="B834" s="289" t="s">
        <v>667</v>
      </c>
      <c r="C834" s="289" t="s">
        <v>668</v>
      </c>
      <c r="D834" s="289" t="s">
        <v>3439</v>
      </c>
      <c r="E834" s="289" t="s">
        <v>3440</v>
      </c>
      <c r="F834" s="289" t="s">
        <v>3441</v>
      </c>
      <c r="I834" s="289" t="str">
        <f>("0433718")</f>
        <v>0433718</v>
      </c>
    </row>
    <row r="835" spans="1:9">
      <c r="A835" s="290">
        <v>433729</v>
      </c>
      <c r="B835" s="289" t="s">
        <v>667</v>
      </c>
      <c r="C835" s="289" t="s">
        <v>668</v>
      </c>
      <c r="D835" s="289" t="s">
        <v>3442</v>
      </c>
      <c r="E835" s="289" t="s">
        <v>3443</v>
      </c>
      <c r="F835" s="289" t="s">
        <v>3444</v>
      </c>
      <c r="I835" s="289" t="str">
        <f>("0433729")</f>
        <v>0433729</v>
      </c>
    </row>
    <row r="836" spans="1:9">
      <c r="A836" s="290">
        <v>433730</v>
      </c>
      <c r="B836" s="289" t="s">
        <v>667</v>
      </c>
      <c r="C836" s="289" t="s">
        <v>668</v>
      </c>
      <c r="D836" s="289" t="s">
        <v>3445</v>
      </c>
      <c r="E836" s="289" t="s">
        <v>3446</v>
      </c>
      <c r="F836" s="289" t="s">
        <v>3447</v>
      </c>
      <c r="I836" s="289" t="str">
        <f>("0433730")</f>
        <v>0433730</v>
      </c>
    </row>
    <row r="837" spans="1:9">
      <c r="A837" s="290">
        <v>434337</v>
      </c>
      <c r="B837" s="289" t="s">
        <v>1537</v>
      </c>
      <c r="C837" s="289" t="s">
        <v>1543</v>
      </c>
      <c r="D837" s="289" t="s">
        <v>3448</v>
      </c>
      <c r="E837" s="289" t="s">
        <v>3449</v>
      </c>
      <c r="F837" s="289" t="s">
        <v>3450</v>
      </c>
      <c r="I837" s="289" t="str">
        <f>("0434337")</f>
        <v>0434337</v>
      </c>
    </row>
    <row r="838" spans="1:9">
      <c r="A838" s="290">
        <v>434360</v>
      </c>
      <c r="B838" s="289" t="s">
        <v>3117</v>
      </c>
      <c r="C838" s="289" t="s">
        <v>668</v>
      </c>
      <c r="D838" s="289" t="s">
        <v>3451</v>
      </c>
      <c r="E838" s="289" t="s">
        <v>3452</v>
      </c>
      <c r="F838" s="289" t="s">
        <v>3453</v>
      </c>
      <c r="I838" s="289" t="str">
        <f>("0434360")</f>
        <v>0434360</v>
      </c>
    </row>
    <row r="839" spans="1:9">
      <c r="A839" s="290">
        <v>435349</v>
      </c>
      <c r="B839" s="289" t="s">
        <v>1537</v>
      </c>
      <c r="C839" s="289" t="s">
        <v>1543</v>
      </c>
      <c r="D839" s="289" t="s">
        <v>357</v>
      </c>
      <c r="E839" s="289" t="s">
        <v>358</v>
      </c>
      <c r="F839" s="289" t="s">
        <v>3482</v>
      </c>
      <c r="I839" s="289" t="str">
        <f>("0435349")</f>
        <v>0435349</v>
      </c>
    </row>
    <row r="840" spans="1:9">
      <c r="A840" s="290">
        <v>435619</v>
      </c>
      <c r="B840" s="289" t="s">
        <v>1537</v>
      </c>
      <c r="C840" s="289" t="s">
        <v>1539</v>
      </c>
      <c r="D840" s="289" t="s">
        <v>3483</v>
      </c>
      <c r="E840" s="289" t="s">
        <v>3484</v>
      </c>
      <c r="F840" s="289" t="s">
        <v>3485</v>
      </c>
      <c r="I840" s="289" t="str">
        <f>("0435619")</f>
        <v>0435619</v>
      </c>
    </row>
    <row r="841" spans="1:9">
      <c r="A841" s="290">
        <v>436171</v>
      </c>
      <c r="B841" s="289" t="s">
        <v>667</v>
      </c>
      <c r="C841" s="289" t="s">
        <v>668</v>
      </c>
      <c r="D841" s="289" t="s">
        <v>3486</v>
      </c>
      <c r="E841" s="289" t="s">
        <v>3487</v>
      </c>
      <c r="F841" s="289" t="s">
        <v>3488</v>
      </c>
      <c r="I841" s="289" t="str">
        <f>("0436171")</f>
        <v>0436171</v>
      </c>
    </row>
    <row r="842" spans="1:9">
      <c r="A842" s="290">
        <v>436586</v>
      </c>
      <c r="B842" s="289" t="s">
        <v>667</v>
      </c>
      <c r="C842" s="289" t="s">
        <v>668</v>
      </c>
      <c r="D842" s="289" t="s">
        <v>3489</v>
      </c>
      <c r="E842" s="289" t="s">
        <v>3490</v>
      </c>
      <c r="F842" s="289" t="s">
        <v>3491</v>
      </c>
      <c r="I842" s="289" t="str">
        <f>("0436586")</f>
        <v>0436586</v>
      </c>
    </row>
    <row r="843" spans="1:9">
      <c r="A843" s="290">
        <v>437329</v>
      </c>
      <c r="B843" s="289" t="s">
        <v>667</v>
      </c>
      <c r="C843" s="289" t="s">
        <v>668</v>
      </c>
      <c r="D843" s="289" t="s">
        <v>4741</v>
      </c>
      <c r="E843" s="289" t="s">
        <v>4742</v>
      </c>
      <c r="F843" s="289" t="s">
        <v>4743</v>
      </c>
      <c r="I843" s="289" t="str">
        <f>("0437329")</f>
        <v>0437329</v>
      </c>
    </row>
    <row r="844" spans="1:9">
      <c r="A844" s="290">
        <v>437374</v>
      </c>
      <c r="B844" s="289" t="s">
        <v>34</v>
      </c>
      <c r="C844" s="289" t="s">
        <v>184</v>
      </c>
      <c r="D844" s="289" t="s">
        <v>3492</v>
      </c>
      <c r="E844" s="289" t="s">
        <v>3493</v>
      </c>
      <c r="F844" s="289" t="s">
        <v>3494</v>
      </c>
      <c r="I844" s="289" t="str">
        <f>("0437374")</f>
        <v>0437374</v>
      </c>
    </row>
    <row r="845" spans="1:9">
      <c r="A845" s="290">
        <v>437846</v>
      </c>
      <c r="B845" s="289" t="s">
        <v>3117</v>
      </c>
      <c r="C845" s="289" t="s">
        <v>668</v>
      </c>
      <c r="D845" s="289" t="s">
        <v>3495</v>
      </c>
      <c r="E845" s="289" t="s">
        <v>3496</v>
      </c>
      <c r="F845" s="289" t="s">
        <v>3497</v>
      </c>
      <c r="I845" s="289" t="str">
        <f>("0437846")</f>
        <v>0437846</v>
      </c>
    </row>
    <row r="846" spans="1:9">
      <c r="A846" s="290">
        <v>438566</v>
      </c>
      <c r="B846" s="289" t="s">
        <v>29</v>
      </c>
      <c r="C846" s="289" t="s">
        <v>212</v>
      </c>
      <c r="D846" s="289" t="s">
        <v>3498</v>
      </c>
      <c r="E846" s="289" t="s">
        <v>3499</v>
      </c>
      <c r="F846" s="289" t="s">
        <v>3500</v>
      </c>
      <c r="I846" s="289" t="str">
        <f>("0438566")</f>
        <v>0438566</v>
      </c>
    </row>
    <row r="847" spans="1:9">
      <c r="A847" s="290">
        <v>439567</v>
      </c>
      <c r="B847" s="289" t="s">
        <v>34</v>
      </c>
      <c r="C847" s="289" t="s">
        <v>35</v>
      </c>
      <c r="D847" s="289" t="s">
        <v>3501</v>
      </c>
      <c r="E847" s="289" t="s">
        <v>3502</v>
      </c>
      <c r="F847" s="289" t="s">
        <v>3503</v>
      </c>
      <c r="I847" s="289" t="str">
        <f>("0439567")</f>
        <v>0439567</v>
      </c>
    </row>
    <row r="848" spans="1:9">
      <c r="A848" s="290">
        <v>440693</v>
      </c>
      <c r="B848" s="289" t="s">
        <v>667</v>
      </c>
      <c r="C848" s="289" t="s">
        <v>668</v>
      </c>
      <c r="D848" s="289" t="s">
        <v>3504</v>
      </c>
      <c r="E848" s="289" t="s">
        <v>3505</v>
      </c>
      <c r="F848" s="289" t="s">
        <v>3506</v>
      </c>
      <c r="I848" s="289" t="str">
        <f>("0440693")</f>
        <v>0440693</v>
      </c>
    </row>
    <row r="849" spans="1:9">
      <c r="A849" s="290">
        <v>440761</v>
      </c>
      <c r="B849" s="289" t="s">
        <v>667</v>
      </c>
      <c r="C849" s="289" t="s">
        <v>668</v>
      </c>
      <c r="D849" s="289" t="s">
        <v>3507</v>
      </c>
      <c r="E849" s="289" t="s">
        <v>3508</v>
      </c>
      <c r="F849" s="289" t="s">
        <v>3509</v>
      </c>
      <c r="I849" s="289" t="str">
        <f>("0440761")</f>
        <v>0440761</v>
      </c>
    </row>
    <row r="850" spans="1:9">
      <c r="A850" s="290">
        <v>440828</v>
      </c>
      <c r="B850" s="289" t="s">
        <v>667</v>
      </c>
      <c r="C850" s="289" t="s">
        <v>668</v>
      </c>
      <c r="D850" s="289" t="s">
        <v>3510</v>
      </c>
      <c r="E850" s="289" t="s">
        <v>3510</v>
      </c>
      <c r="F850" s="289" t="s">
        <v>3511</v>
      </c>
      <c r="I850" s="289" t="str">
        <f>("0440828")</f>
        <v>0440828</v>
      </c>
    </row>
    <row r="851" spans="1:9">
      <c r="A851" s="290">
        <v>441100</v>
      </c>
      <c r="B851" s="289" t="s">
        <v>34</v>
      </c>
      <c r="C851" s="289" t="s">
        <v>35</v>
      </c>
      <c r="D851" s="289" t="s">
        <v>3512</v>
      </c>
      <c r="E851" s="289" t="s">
        <v>3513</v>
      </c>
      <c r="F851" s="289" t="s">
        <v>3514</v>
      </c>
      <c r="I851" s="289" t="str">
        <f>("0441100")</f>
        <v>0441100</v>
      </c>
    </row>
    <row r="852" spans="1:9">
      <c r="A852" s="290">
        <v>441627</v>
      </c>
      <c r="B852" s="289" t="s">
        <v>630</v>
      </c>
      <c r="C852" s="289" t="s">
        <v>30</v>
      </c>
      <c r="D852" s="289" t="s">
        <v>3515</v>
      </c>
      <c r="E852" s="289" t="s">
        <v>3516</v>
      </c>
      <c r="F852" s="289" t="s">
        <v>3517</v>
      </c>
      <c r="I852" s="289" t="str">
        <f>("0441627")</f>
        <v>0441627</v>
      </c>
    </row>
    <row r="853" spans="1:9">
      <c r="A853" s="290">
        <v>441706</v>
      </c>
      <c r="B853" s="289" t="s">
        <v>630</v>
      </c>
      <c r="C853" s="289" t="s">
        <v>30</v>
      </c>
      <c r="D853" s="289" t="s">
        <v>5280</v>
      </c>
      <c r="E853" s="289" t="s">
        <v>5281</v>
      </c>
      <c r="F853" s="289" t="s">
        <v>3519</v>
      </c>
      <c r="I853" s="289" t="str">
        <f>("0441706")</f>
        <v>0441706</v>
      </c>
    </row>
    <row r="854" spans="1:9">
      <c r="A854" s="290">
        <v>441728</v>
      </c>
      <c r="B854" s="289" t="s">
        <v>630</v>
      </c>
      <c r="C854" s="289" t="s">
        <v>30</v>
      </c>
      <c r="D854" s="289" t="s">
        <v>3520</v>
      </c>
      <c r="E854" s="289" t="s">
        <v>3521</v>
      </c>
      <c r="F854" s="289" t="s">
        <v>3522</v>
      </c>
      <c r="I854" s="289" t="str">
        <f>("0441728")</f>
        <v>0441728</v>
      </c>
    </row>
    <row r="855" spans="1:9">
      <c r="A855" s="290">
        <v>441751</v>
      </c>
      <c r="B855" s="289" t="s">
        <v>1537</v>
      </c>
      <c r="C855" s="289" t="s">
        <v>1538</v>
      </c>
      <c r="D855" s="289" t="s">
        <v>3523</v>
      </c>
      <c r="E855" s="289" t="s">
        <v>3524</v>
      </c>
      <c r="F855" s="289" t="s">
        <v>3525</v>
      </c>
      <c r="I855" s="289" t="str">
        <f>("0441751")</f>
        <v>0441751</v>
      </c>
    </row>
    <row r="856" spans="1:9">
      <c r="A856" s="290">
        <v>441829</v>
      </c>
      <c r="B856" s="289" t="s">
        <v>1537</v>
      </c>
      <c r="C856" s="289" t="s">
        <v>1538</v>
      </c>
      <c r="D856" s="289" t="s">
        <v>3526</v>
      </c>
      <c r="E856" s="289" t="s">
        <v>3527</v>
      </c>
      <c r="F856" s="289" t="s">
        <v>3528</v>
      </c>
      <c r="I856" s="289" t="str">
        <f>("0441829")</f>
        <v>0441829</v>
      </c>
    </row>
    <row r="857" spans="1:9">
      <c r="A857" s="290">
        <v>441852</v>
      </c>
      <c r="B857" s="289" t="s">
        <v>1537</v>
      </c>
      <c r="C857" s="289" t="s">
        <v>1574</v>
      </c>
      <c r="D857" s="289" t="s">
        <v>3529</v>
      </c>
      <c r="E857" s="289" t="s">
        <v>3530</v>
      </c>
      <c r="F857" s="289" t="s">
        <v>3531</v>
      </c>
      <c r="I857" s="289" t="str">
        <f>("0441852")</f>
        <v>0441852</v>
      </c>
    </row>
    <row r="858" spans="1:9">
      <c r="A858" s="290">
        <v>442695</v>
      </c>
      <c r="B858" s="289" t="s">
        <v>667</v>
      </c>
      <c r="C858" s="289" t="s">
        <v>668</v>
      </c>
      <c r="D858" s="289" t="s">
        <v>3532</v>
      </c>
      <c r="E858" s="289" t="s">
        <v>3532</v>
      </c>
      <c r="F858" s="289" t="s">
        <v>3533</v>
      </c>
      <c r="I858" s="289" t="str">
        <f>("0442695")</f>
        <v>0442695</v>
      </c>
    </row>
    <row r="859" spans="1:9">
      <c r="A859" s="290">
        <v>442718</v>
      </c>
      <c r="B859" s="289" t="s">
        <v>667</v>
      </c>
      <c r="C859" s="289" t="s">
        <v>668</v>
      </c>
      <c r="D859" s="289" t="s">
        <v>3534</v>
      </c>
      <c r="E859" s="289" t="s">
        <v>3535</v>
      </c>
      <c r="F859" s="289" t="s">
        <v>3536</v>
      </c>
      <c r="I859" s="289" t="str">
        <f>("0442718")</f>
        <v>0442718</v>
      </c>
    </row>
    <row r="860" spans="1:9">
      <c r="A860" s="290">
        <v>442730</v>
      </c>
      <c r="B860" s="289" t="s">
        <v>667</v>
      </c>
      <c r="C860" s="289" t="s">
        <v>668</v>
      </c>
      <c r="D860" s="289" t="s">
        <v>3537</v>
      </c>
      <c r="E860" s="289" t="s">
        <v>3538</v>
      </c>
      <c r="F860" s="289" t="s">
        <v>3539</v>
      </c>
      <c r="I860" s="289" t="str">
        <f>("0442730")</f>
        <v>0442730</v>
      </c>
    </row>
    <row r="861" spans="1:9">
      <c r="A861" s="290">
        <v>442774</v>
      </c>
      <c r="B861" s="289" t="s">
        <v>667</v>
      </c>
      <c r="C861" s="289" t="s">
        <v>668</v>
      </c>
      <c r="D861" s="289" t="s">
        <v>3540</v>
      </c>
      <c r="E861" s="289" t="s">
        <v>3541</v>
      </c>
      <c r="F861" s="289" t="s">
        <v>3542</v>
      </c>
      <c r="I861" s="289" t="str">
        <f>("0442774")</f>
        <v>0442774</v>
      </c>
    </row>
    <row r="862" spans="1:9">
      <c r="A862" s="290">
        <v>443090</v>
      </c>
      <c r="B862" s="289" t="s">
        <v>667</v>
      </c>
      <c r="C862" s="289" t="s">
        <v>668</v>
      </c>
      <c r="D862" s="289" t="s">
        <v>3543</v>
      </c>
      <c r="E862" s="289" t="s">
        <v>3543</v>
      </c>
      <c r="F862" s="289" t="s">
        <v>3544</v>
      </c>
      <c r="I862" s="289" t="str">
        <f>("0443090")</f>
        <v>0443090</v>
      </c>
    </row>
    <row r="863" spans="1:9">
      <c r="A863" s="290">
        <v>444417</v>
      </c>
      <c r="B863" s="289" t="s">
        <v>34</v>
      </c>
      <c r="C863" s="289" t="s">
        <v>35</v>
      </c>
      <c r="D863" s="289" t="s">
        <v>3545</v>
      </c>
      <c r="E863" s="289" t="s">
        <v>3546</v>
      </c>
      <c r="F863" s="289" t="s">
        <v>3547</v>
      </c>
      <c r="I863" s="289" t="str">
        <f>("0444417")</f>
        <v>0444417</v>
      </c>
    </row>
    <row r="864" spans="1:9">
      <c r="A864" s="290">
        <v>445036</v>
      </c>
      <c r="B864" s="289" t="s">
        <v>667</v>
      </c>
      <c r="C864" s="289" t="s">
        <v>668</v>
      </c>
      <c r="D864" s="289" t="s">
        <v>3548</v>
      </c>
      <c r="E864" s="289" t="s">
        <v>3549</v>
      </c>
      <c r="F864" s="289" t="s">
        <v>4744</v>
      </c>
      <c r="I864" s="289" t="str">
        <f>("0445036")</f>
        <v>0445036</v>
      </c>
    </row>
    <row r="865" spans="1:9">
      <c r="A865" s="290">
        <v>446295</v>
      </c>
      <c r="B865" s="289" t="s">
        <v>34</v>
      </c>
      <c r="C865" s="289" t="s">
        <v>35</v>
      </c>
      <c r="D865" s="289" t="s">
        <v>3550</v>
      </c>
      <c r="E865" s="289" t="s">
        <v>3551</v>
      </c>
      <c r="F865" s="289" t="s">
        <v>3552</v>
      </c>
      <c r="I865" s="289" t="str">
        <f>("0446295")</f>
        <v>0446295</v>
      </c>
    </row>
    <row r="866" spans="1:9">
      <c r="A866" s="290">
        <v>446677</v>
      </c>
      <c r="B866" s="289" t="s">
        <v>1537</v>
      </c>
      <c r="C866" s="289" t="s">
        <v>1543</v>
      </c>
      <c r="D866" s="289" t="s">
        <v>408</v>
      </c>
      <c r="E866" s="289" t="s">
        <v>409</v>
      </c>
      <c r="F866" s="289" t="s">
        <v>3553</v>
      </c>
      <c r="I866" s="289" t="str">
        <f>("0446677")</f>
        <v>0446677</v>
      </c>
    </row>
    <row r="867" spans="1:9">
      <c r="A867" s="290">
        <v>447588</v>
      </c>
      <c r="B867" s="289" t="s">
        <v>667</v>
      </c>
      <c r="C867" s="289" t="s">
        <v>668</v>
      </c>
      <c r="D867" s="289" t="s">
        <v>3558</v>
      </c>
      <c r="E867" s="289" t="s">
        <v>3558</v>
      </c>
      <c r="F867" s="289" t="s">
        <v>3559</v>
      </c>
      <c r="I867" s="289" t="str">
        <f>("0447588")</f>
        <v>0447588</v>
      </c>
    </row>
    <row r="868" spans="1:9">
      <c r="A868" s="290">
        <v>449399</v>
      </c>
      <c r="B868" s="289" t="s">
        <v>1537</v>
      </c>
      <c r="C868" s="289" t="s">
        <v>1543</v>
      </c>
      <c r="D868" s="289" t="s">
        <v>3580</v>
      </c>
      <c r="E868" s="289" t="s">
        <v>3581</v>
      </c>
      <c r="F868" s="289" t="s">
        <v>3582</v>
      </c>
      <c r="I868" s="289" t="str">
        <f>("0449399")</f>
        <v>0449399</v>
      </c>
    </row>
    <row r="869" spans="1:9">
      <c r="A869" s="290">
        <v>454182</v>
      </c>
      <c r="B869" s="289" t="s">
        <v>667</v>
      </c>
      <c r="C869" s="289" t="s">
        <v>668</v>
      </c>
      <c r="D869" s="289" t="s">
        <v>3591</v>
      </c>
      <c r="E869" s="289" t="s">
        <v>3592</v>
      </c>
      <c r="F869" s="289" t="s">
        <v>3593</v>
      </c>
      <c r="I869" s="289" t="str">
        <f>("0454182")</f>
        <v>0454182</v>
      </c>
    </row>
    <row r="870" spans="1:9">
      <c r="A870" s="290">
        <v>454351</v>
      </c>
      <c r="B870" s="289" t="s">
        <v>34</v>
      </c>
      <c r="C870" s="289" t="s">
        <v>35</v>
      </c>
      <c r="D870" s="289" t="s">
        <v>3594</v>
      </c>
      <c r="E870" s="289" t="s">
        <v>3595</v>
      </c>
      <c r="F870" s="289" t="s">
        <v>3596</v>
      </c>
      <c r="I870" s="289" t="str">
        <f>("0454351")</f>
        <v>0454351</v>
      </c>
    </row>
    <row r="871" spans="1:9">
      <c r="A871" s="290">
        <v>455194</v>
      </c>
      <c r="B871" s="289" t="s">
        <v>1537</v>
      </c>
      <c r="C871" s="289" t="s">
        <v>1538</v>
      </c>
      <c r="D871" s="289" t="s">
        <v>3597</v>
      </c>
      <c r="E871" s="289" t="s">
        <v>3598</v>
      </c>
      <c r="F871" s="289" t="s">
        <v>3599</v>
      </c>
      <c r="I871" s="289" t="str">
        <f>("0455194")</f>
        <v>0455194</v>
      </c>
    </row>
    <row r="872" spans="1:9">
      <c r="A872" s="290">
        <v>455587</v>
      </c>
      <c r="B872" s="289" t="s">
        <v>34</v>
      </c>
      <c r="C872" s="289" t="s">
        <v>35</v>
      </c>
      <c r="D872" s="289" t="s">
        <v>3600</v>
      </c>
      <c r="E872" s="289" t="s">
        <v>3601</v>
      </c>
      <c r="F872" s="289" t="s">
        <v>3602</v>
      </c>
      <c r="I872" s="289" t="str">
        <f>("0455587")</f>
        <v>0455587</v>
      </c>
    </row>
    <row r="873" spans="1:9">
      <c r="A873" s="290">
        <v>455688</v>
      </c>
      <c r="B873" s="289" t="s">
        <v>29</v>
      </c>
      <c r="C873" s="289" t="s">
        <v>212</v>
      </c>
      <c r="D873" s="289" t="s">
        <v>3603</v>
      </c>
      <c r="E873" s="289" t="s">
        <v>3604</v>
      </c>
      <c r="F873" s="289" t="s">
        <v>3605</v>
      </c>
      <c r="I873" s="289" t="str">
        <f>("0455688")</f>
        <v>0455688</v>
      </c>
    </row>
    <row r="874" spans="1:9">
      <c r="A874" s="290">
        <v>456139</v>
      </c>
      <c r="B874" s="289" t="s">
        <v>630</v>
      </c>
      <c r="C874" s="289" t="s">
        <v>30</v>
      </c>
      <c r="D874" s="289" t="s">
        <v>3606</v>
      </c>
      <c r="E874" s="289" t="s">
        <v>3607</v>
      </c>
      <c r="F874" s="289" t="s">
        <v>3608</v>
      </c>
      <c r="I874" s="289" t="str">
        <f>("0456139")</f>
        <v>0456139</v>
      </c>
    </row>
    <row r="875" spans="1:9">
      <c r="A875" s="290">
        <v>456140</v>
      </c>
      <c r="B875" s="289" t="s">
        <v>630</v>
      </c>
      <c r="C875" s="289" t="s">
        <v>30</v>
      </c>
      <c r="D875" s="289" t="s">
        <v>3609</v>
      </c>
      <c r="E875" s="289" t="s">
        <v>3610</v>
      </c>
      <c r="F875" s="289" t="s">
        <v>3611</v>
      </c>
      <c r="I875" s="289" t="str">
        <f>("0456140")</f>
        <v>0456140</v>
      </c>
    </row>
    <row r="876" spans="1:9">
      <c r="A876" s="290">
        <v>456308</v>
      </c>
      <c r="B876" s="289" t="s">
        <v>34</v>
      </c>
      <c r="C876" s="289" t="s">
        <v>35</v>
      </c>
      <c r="D876" s="289" t="s">
        <v>3612</v>
      </c>
      <c r="E876" s="289" t="s">
        <v>3613</v>
      </c>
      <c r="F876" s="289" t="s">
        <v>3614</v>
      </c>
      <c r="I876" s="289" t="str">
        <f>("0456308")</f>
        <v>0456308</v>
      </c>
    </row>
    <row r="877" spans="1:9">
      <c r="A877" s="290">
        <v>456780</v>
      </c>
      <c r="B877" s="289" t="s">
        <v>34</v>
      </c>
      <c r="C877" s="289" t="s">
        <v>35</v>
      </c>
      <c r="D877" s="289" t="s">
        <v>3615</v>
      </c>
      <c r="E877" s="289" t="s">
        <v>3616</v>
      </c>
      <c r="F877" s="289" t="s">
        <v>3617</v>
      </c>
      <c r="I877" s="289" t="str">
        <f>("0456780")</f>
        <v>0456780</v>
      </c>
    </row>
    <row r="878" spans="1:9">
      <c r="A878" s="290">
        <v>457095</v>
      </c>
      <c r="B878" s="289" t="s">
        <v>29</v>
      </c>
      <c r="C878" s="289" t="s">
        <v>212</v>
      </c>
      <c r="D878" s="289" t="s">
        <v>3618</v>
      </c>
      <c r="E878" s="289" t="s">
        <v>3619</v>
      </c>
      <c r="F878" s="289" t="s">
        <v>3620</v>
      </c>
      <c r="I878" s="289" t="str">
        <f>("0457095")</f>
        <v>0457095</v>
      </c>
    </row>
    <row r="879" spans="1:9">
      <c r="A879" s="290">
        <v>459121</v>
      </c>
      <c r="B879" s="289" t="s">
        <v>667</v>
      </c>
      <c r="C879" s="289" t="s">
        <v>668</v>
      </c>
      <c r="D879" s="289" t="s">
        <v>3621</v>
      </c>
      <c r="E879" s="289" t="s">
        <v>3622</v>
      </c>
      <c r="F879" s="289" t="s">
        <v>3623</v>
      </c>
      <c r="I879" s="289" t="str">
        <f>("0459121")</f>
        <v>0459121</v>
      </c>
    </row>
    <row r="880" spans="1:9">
      <c r="A880" s="290">
        <v>459132</v>
      </c>
      <c r="B880" s="289" t="s">
        <v>667</v>
      </c>
      <c r="C880" s="289" t="s">
        <v>668</v>
      </c>
      <c r="D880" s="289" t="s">
        <v>3624</v>
      </c>
      <c r="E880" s="289" t="s">
        <v>3625</v>
      </c>
      <c r="F880" s="289" t="s">
        <v>3626</v>
      </c>
      <c r="I880" s="289" t="str">
        <f>("0459132")</f>
        <v>0459132</v>
      </c>
    </row>
    <row r="881" spans="1:9">
      <c r="A881" s="290">
        <v>459143</v>
      </c>
      <c r="B881" s="289" t="s">
        <v>667</v>
      </c>
      <c r="C881" s="289" t="s">
        <v>668</v>
      </c>
      <c r="D881" s="289" t="s">
        <v>3627</v>
      </c>
      <c r="E881" s="289" t="s">
        <v>3628</v>
      </c>
      <c r="F881" s="289" t="s">
        <v>3629</v>
      </c>
      <c r="I881" s="289" t="str">
        <f>("0459143")</f>
        <v>0459143</v>
      </c>
    </row>
    <row r="882" spans="1:9">
      <c r="A882" s="290">
        <v>459345</v>
      </c>
      <c r="B882" s="289" t="s">
        <v>667</v>
      </c>
      <c r="C882" s="289" t="s">
        <v>668</v>
      </c>
      <c r="D882" s="289" t="s">
        <v>3630</v>
      </c>
      <c r="E882" s="289" t="s">
        <v>3631</v>
      </c>
      <c r="F882" s="289" t="s">
        <v>3632</v>
      </c>
      <c r="I882" s="289" t="str">
        <f>("0459345")</f>
        <v>0459345</v>
      </c>
    </row>
    <row r="883" spans="1:9">
      <c r="A883" s="290">
        <v>460101</v>
      </c>
      <c r="B883" s="289" t="s">
        <v>667</v>
      </c>
      <c r="C883" s="289" t="s">
        <v>668</v>
      </c>
      <c r="D883" s="289" t="s">
        <v>3633</v>
      </c>
      <c r="E883" s="289" t="s">
        <v>3634</v>
      </c>
      <c r="F883" s="289" t="s">
        <v>3635</v>
      </c>
      <c r="I883" s="289" t="str">
        <f>("0460101")</f>
        <v>0460101</v>
      </c>
    </row>
    <row r="884" spans="1:9">
      <c r="A884" s="290">
        <v>461674</v>
      </c>
      <c r="B884" s="289" t="s">
        <v>1537</v>
      </c>
      <c r="C884" s="289" t="s">
        <v>1543</v>
      </c>
      <c r="D884" s="289" t="s">
        <v>369</v>
      </c>
      <c r="E884" s="289" t="s">
        <v>370</v>
      </c>
      <c r="F884" s="289" t="s">
        <v>371</v>
      </c>
      <c r="I884" s="289" t="str">
        <f>("0461674")</f>
        <v>0461674</v>
      </c>
    </row>
    <row r="885" spans="1:9">
      <c r="A885" s="290">
        <v>462619</v>
      </c>
      <c r="B885" s="289" t="s">
        <v>1537</v>
      </c>
      <c r="C885" s="289" t="s">
        <v>1543</v>
      </c>
      <c r="D885" s="289" t="s">
        <v>3654</v>
      </c>
      <c r="E885" s="289" t="s">
        <v>3655</v>
      </c>
      <c r="F885" s="289" t="s">
        <v>3656</v>
      </c>
      <c r="I885" s="289" t="str">
        <f>("0462619")</f>
        <v>0462619</v>
      </c>
    </row>
    <row r="886" spans="1:9">
      <c r="A886" s="290">
        <v>463766</v>
      </c>
      <c r="B886" s="289" t="s">
        <v>3117</v>
      </c>
      <c r="C886" s="289" t="s">
        <v>668</v>
      </c>
      <c r="D886" s="289" t="s">
        <v>3661</v>
      </c>
      <c r="E886" s="289" t="s">
        <v>3662</v>
      </c>
      <c r="F886" s="289" t="s">
        <v>3663</v>
      </c>
      <c r="I886" s="289" t="str">
        <f>("0463766")</f>
        <v>0463766</v>
      </c>
    </row>
    <row r="887" spans="1:9">
      <c r="A887" s="290">
        <v>463799</v>
      </c>
      <c r="B887" s="289" t="s">
        <v>3117</v>
      </c>
      <c r="C887" s="289" t="s">
        <v>668</v>
      </c>
      <c r="D887" s="289" t="s">
        <v>3664</v>
      </c>
      <c r="E887" s="289" t="s">
        <v>3665</v>
      </c>
      <c r="F887" s="289" t="s">
        <v>3666</v>
      </c>
      <c r="I887" s="289" t="str">
        <f>("0463799")</f>
        <v>0463799</v>
      </c>
    </row>
    <row r="888" spans="1:9">
      <c r="A888" s="290">
        <v>468042</v>
      </c>
      <c r="B888" s="289" t="s">
        <v>630</v>
      </c>
      <c r="C888" s="289" t="s">
        <v>30</v>
      </c>
      <c r="D888" s="289" t="s">
        <v>3667</v>
      </c>
      <c r="E888" s="289" t="s">
        <v>3667</v>
      </c>
      <c r="F888" s="289" t="s">
        <v>3668</v>
      </c>
      <c r="I888" s="289" t="str">
        <f>("0468042")</f>
        <v>0468042</v>
      </c>
    </row>
    <row r="889" spans="1:9">
      <c r="A889" s="290">
        <v>468053</v>
      </c>
      <c r="B889" s="289" t="s">
        <v>630</v>
      </c>
      <c r="C889" s="289" t="s">
        <v>30</v>
      </c>
      <c r="D889" s="289" t="s">
        <v>3669</v>
      </c>
      <c r="E889" s="289" t="s">
        <v>3670</v>
      </c>
      <c r="F889" s="289" t="s">
        <v>3671</v>
      </c>
      <c r="I889" s="289" t="str">
        <f>("0468053")</f>
        <v>0468053</v>
      </c>
    </row>
    <row r="890" spans="1:9">
      <c r="A890" s="290">
        <v>468064</v>
      </c>
      <c r="B890" s="289" t="s">
        <v>630</v>
      </c>
      <c r="C890" s="289" t="s">
        <v>30</v>
      </c>
      <c r="D890" s="289" t="s">
        <v>3672</v>
      </c>
      <c r="E890" s="289" t="s">
        <v>3673</v>
      </c>
      <c r="F890" s="289" t="s">
        <v>3674</v>
      </c>
      <c r="I890" s="289" t="str">
        <f>("0468064")</f>
        <v>0468064</v>
      </c>
    </row>
    <row r="891" spans="1:9">
      <c r="A891" s="290">
        <v>468086</v>
      </c>
      <c r="B891" s="289" t="s">
        <v>630</v>
      </c>
      <c r="C891" s="289" t="s">
        <v>30</v>
      </c>
      <c r="D891" s="289" t="s">
        <v>2722</v>
      </c>
      <c r="E891" s="289" t="s">
        <v>2723</v>
      </c>
      <c r="F891" s="289" t="s">
        <v>3675</v>
      </c>
      <c r="I891" s="289" t="str">
        <f>("0468086")</f>
        <v>0468086</v>
      </c>
    </row>
    <row r="892" spans="1:9">
      <c r="A892" s="290">
        <v>468334</v>
      </c>
      <c r="B892" s="289" t="s">
        <v>667</v>
      </c>
      <c r="C892" s="289" t="s">
        <v>668</v>
      </c>
      <c r="D892" s="289" t="s">
        <v>3676</v>
      </c>
      <c r="E892" s="289" t="s">
        <v>3677</v>
      </c>
      <c r="F892" s="289" t="s">
        <v>3678</v>
      </c>
      <c r="I892" s="289" t="str">
        <f>("0468334")</f>
        <v>0468334</v>
      </c>
    </row>
    <row r="893" spans="1:9">
      <c r="A893" s="290">
        <v>468367</v>
      </c>
      <c r="B893" s="289" t="s">
        <v>667</v>
      </c>
      <c r="C893" s="289" t="s">
        <v>668</v>
      </c>
      <c r="D893" s="289" t="s">
        <v>3679</v>
      </c>
      <c r="E893" s="289" t="s">
        <v>3680</v>
      </c>
      <c r="F893" s="289" t="s">
        <v>3681</v>
      </c>
      <c r="I893" s="289" t="str">
        <f>("0468367")</f>
        <v>0468367</v>
      </c>
    </row>
    <row r="894" spans="1:9">
      <c r="A894" s="290">
        <v>469458</v>
      </c>
      <c r="B894" s="289" t="s">
        <v>667</v>
      </c>
      <c r="C894" s="289" t="s">
        <v>668</v>
      </c>
      <c r="D894" s="289" t="s">
        <v>3682</v>
      </c>
      <c r="E894" s="289" t="s">
        <v>3683</v>
      </c>
      <c r="F894" s="289" t="s">
        <v>3684</v>
      </c>
      <c r="I894" s="289" t="str">
        <f>("0469458")</f>
        <v>0469458</v>
      </c>
    </row>
    <row r="895" spans="1:9">
      <c r="A895" s="290">
        <v>469481</v>
      </c>
      <c r="B895" s="289" t="s">
        <v>667</v>
      </c>
      <c r="C895" s="289" t="s">
        <v>668</v>
      </c>
      <c r="D895" s="289" t="s">
        <v>3685</v>
      </c>
      <c r="E895" s="289" t="s">
        <v>3686</v>
      </c>
      <c r="F895" s="289" t="s">
        <v>3687</v>
      </c>
      <c r="I895" s="289" t="str">
        <f>("0469481")</f>
        <v>0469481</v>
      </c>
    </row>
    <row r="896" spans="1:9">
      <c r="A896" s="290">
        <v>472711</v>
      </c>
      <c r="B896" s="289" t="s">
        <v>667</v>
      </c>
      <c r="C896" s="289" t="s">
        <v>668</v>
      </c>
      <c r="D896" s="289" t="s">
        <v>5282</v>
      </c>
      <c r="E896" s="289" t="s">
        <v>5283</v>
      </c>
      <c r="F896" s="289" t="s">
        <v>5284</v>
      </c>
      <c r="I896" s="289" t="str">
        <f>("0472711")</f>
        <v>0472711</v>
      </c>
    </row>
    <row r="897" spans="1:9">
      <c r="A897" s="290">
        <v>473352</v>
      </c>
      <c r="B897" s="289" t="s">
        <v>667</v>
      </c>
      <c r="C897" s="289" t="s">
        <v>668</v>
      </c>
      <c r="D897" s="289" t="s">
        <v>3688</v>
      </c>
      <c r="E897" s="289" t="s">
        <v>3689</v>
      </c>
      <c r="F897" s="289" t="s">
        <v>3690</v>
      </c>
      <c r="I897" s="289" t="str">
        <f>("0473352")</f>
        <v>0473352</v>
      </c>
    </row>
    <row r="898" spans="1:9">
      <c r="A898" s="290">
        <v>473835</v>
      </c>
      <c r="B898" s="289" t="s">
        <v>667</v>
      </c>
      <c r="C898" s="289" t="s">
        <v>668</v>
      </c>
      <c r="D898" s="289" t="s">
        <v>3691</v>
      </c>
      <c r="E898" s="289" t="s">
        <v>3692</v>
      </c>
      <c r="F898" s="289" t="s">
        <v>3693</v>
      </c>
      <c r="I898" s="289" t="str">
        <f>("0473835")</f>
        <v>0473835</v>
      </c>
    </row>
    <row r="899" spans="1:9">
      <c r="A899" s="290">
        <v>474465</v>
      </c>
      <c r="B899" s="289" t="s">
        <v>1537</v>
      </c>
      <c r="C899" s="289" t="s">
        <v>1543</v>
      </c>
      <c r="D899" s="289" t="s">
        <v>3694</v>
      </c>
      <c r="E899" s="289" t="s">
        <v>3695</v>
      </c>
      <c r="F899" s="289" t="s">
        <v>3696</v>
      </c>
      <c r="I899" s="289" t="str">
        <f>("0474465")</f>
        <v>0474465</v>
      </c>
    </row>
    <row r="900" spans="1:9">
      <c r="A900" s="290">
        <v>474825</v>
      </c>
      <c r="B900" s="289" t="s">
        <v>3117</v>
      </c>
      <c r="C900" s="289" t="s">
        <v>668</v>
      </c>
      <c r="D900" s="289" t="s">
        <v>3697</v>
      </c>
      <c r="E900" s="289" t="s">
        <v>3698</v>
      </c>
      <c r="F900" s="289" t="s">
        <v>3699</v>
      </c>
      <c r="I900" s="289" t="str">
        <f>("0474825")</f>
        <v>0474825</v>
      </c>
    </row>
    <row r="901" spans="1:9">
      <c r="A901" s="290">
        <v>475219</v>
      </c>
      <c r="B901" s="289" t="s">
        <v>630</v>
      </c>
      <c r="C901" s="289" t="s">
        <v>30</v>
      </c>
      <c r="D901" s="289" t="s">
        <v>3700</v>
      </c>
      <c r="E901" s="289" t="s">
        <v>3701</v>
      </c>
      <c r="F901" s="289" t="s">
        <v>3702</v>
      </c>
      <c r="I901" s="289" t="str">
        <f>("0475219")</f>
        <v>0475219</v>
      </c>
    </row>
    <row r="902" spans="1:9">
      <c r="A902" s="290">
        <v>476692</v>
      </c>
      <c r="B902" s="289" t="s">
        <v>34</v>
      </c>
      <c r="C902" s="289" t="s">
        <v>35</v>
      </c>
      <c r="D902" s="289" t="s">
        <v>3703</v>
      </c>
      <c r="E902" s="289" t="s">
        <v>3704</v>
      </c>
      <c r="F902" s="289" t="s">
        <v>3705</v>
      </c>
      <c r="I902" s="289" t="str">
        <f>("0476692")</f>
        <v>0476692</v>
      </c>
    </row>
    <row r="903" spans="1:9">
      <c r="A903" s="290">
        <v>477895</v>
      </c>
      <c r="B903" s="289" t="s">
        <v>34</v>
      </c>
      <c r="C903" s="289" t="s">
        <v>35</v>
      </c>
      <c r="D903" s="289" t="s">
        <v>3706</v>
      </c>
      <c r="E903" s="289" t="s">
        <v>3707</v>
      </c>
      <c r="F903" s="289" t="s">
        <v>3708</v>
      </c>
      <c r="I903" s="289" t="str">
        <f>("0477895")</f>
        <v>0477895</v>
      </c>
    </row>
    <row r="904" spans="1:9">
      <c r="A904" s="290">
        <v>478548</v>
      </c>
      <c r="B904" s="289" t="s">
        <v>34</v>
      </c>
      <c r="C904" s="289" t="s">
        <v>35</v>
      </c>
      <c r="D904" s="289" t="s">
        <v>3709</v>
      </c>
      <c r="E904" s="289" t="s">
        <v>3710</v>
      </c>
      <c r="F904" s="289" t="s">
        <v>3711</v>
      </c>
      <c r="I904" s="289" t="str">
        <f>("0478548")</f>
        <v>0478548</v>
      </c>
    </row>
    <row r="905" spans="1:9">
      <c r="A905" s="290">
        <v>478638</v>
      </c>
      <c r="B905" s="289" t="s">
        <v>34</v>
      </c>
      <c r="C905" s="289" t="s">
        <v>35</v>
      </c>
      <c r="D905" s="289" t="s">
        <v>3712</v>
      </c>
      <c r="E905" s="289" t="s">
        <v>3713</v>
      </c>
      <c r="F905" s="289" t="s">
        <v>3714</v>
      </c>
      <c r="I905" s="289" t="str">
        <f>("0478638")</f>
        <v>0478638</v>
      </c>
    </row>
    <row r="906" spans="1:9">
      <c r="A906" s="290">
        <v>478694</v>
      </c>
      <c r="B906" s="289" t="s">
        <v>34</v>
      </c>
      <c r="C906" s="289" t="s">
        <v>35</v>
      </c>
      <c r="D906" s="289" t="s">
        <v>3715</v>
      </c>
      <c r="E906" s="289" t="s">
        <v>3716</v>
      </c>
      <c r="F906" s="289" t="s">
        <v>3717</v>
      </c>
      <c r="I906" s="289" t="str">
        <f>("0478694")</f>
        <v>0478694</v>
      </c>
    </row>
    <row r="907" spans="1:9">
      <c r="A907" s="290">
        <v>479460</v>
      </c>
      <c r="B907" s="289" t="s">
        <v>667</v>
      </c>
      <c r="C907" s="289" t="s">
        <v>668</v>
      </c>
      <c r="D907" s="289" t="s">
        <v>3718</v>
      </c>
      <c r="E907" s="289" t="s">
        <v>3719</v>
      </c>
      <c r="F907" s="289" t="s">
        <v>3720</v>
      </c>
      <c r="I907" s="289" t="str">
        <f>("0479460")</f>
        <v>0479460</v>
      </c>
    </row>
    <row r="908" spans="1:9">
      <c r="A908" s="290">
        <v>479482</v>
      </c>
      <c r="B908" s="289" t="s">
        <v>667</v>
      </c>
      <c r="C908" s="289" t="s">
        <v>668</v>
      </c>
      <c r="D908" s="289" t="s">
        <v>3721</v>
      </c>
      <c r="E908" s="289" t="s">
        <v>3722</v>
      </c>
      <c r="F908" s="289" t="s">
        <v>3723</v>
      </c>
      <c r="I908" s="289" t="str">
        <f>("0479482")</f>
        <v>0479482</v>
      </c>
    </row>
    <row r="909" spans="1:9">
      <c r="A909" s="290">
        <v>479493</v>
      </c>
      <c r="B909" s="289" t="s">
        <v>667</v>
      </c>
      <c r="C909" s="289" t="s">
        <v>668</v>
      </c>
      <c r="D909" s="289" t="s">
        <v>3724</v>
      </c>
      <c r="E909" s="289" t="s">
        <v>3724</v>
      </c>
      <c r="F909" s="289" t="s">
        <v>3725</v>
      </c>
      <c r="I909" s="289" t="str">
        <f>("0479493")</f>
        <v>0479493</v>
      </c>
    </row>
    <row r="910" spans="1:9">
      <c r="A910" s="290">
        <v>479617</v>
      </c>
      <c r="B910" s="289" t="s">
        <v>667</v>
      </c>
      <c r="C910" s="289" t="s">
        <v>668</v>
      </c>
      <c r="D910" s="289" t="s">
        <v>3726</v>
      </c>
      <c r="E910" s="289" t="s">
        <v>3727</v>
      </c>
      <c r="F910" s="289" t="s">
        <v>3728</v>
      </c>
      <c r="I910" s="289" t="str">
        <f>("0479617")</f>
        <v>0479617</v>
      </c>
    </row>
    <row r="911" spans="1:9">
      <c r="A911" s="290">
        <v>480710</v>
      </c>
      <c r="B911" s="289" t="s">
        <v>667</v>
      </c>
      <c r="C911" s="289" t="s">
        <v>668</v>
      </c>
      <c r="D911" s="289" t="s">
        <v>5285</v>
      </c>
      <c r="E911" s="289" t="s">
        <v>5286</v>
      </c>
      <c r="F911" s="289" t="s">
        <v>5287</v>
      </c>
      <c r="I911" s="289" t="str">
        <f>("0480710")</f>
        <v>0480710</v>
      </c>
    </row>
    <row r="912" spans="1:9">
      <c r="A912" s="290">
        <v>480721</v>
      </c>
      <c r="B912" s="289" t="s">
        <v>667</v>
      </c>
      <c r="C912" s="289" t="s">
        <v>668</v>
      </c>
      <c r="D912" s="289" t="s">
        <v>3729</v>
      </c>
      <c r="E912" s="289" t="s">
        <v>3730</v>
      </c>
      <c r="F912" s="289" t="s">
        <v>3731</v>
      </c>
      <c r="I912" s="289" t="str">
        <f>("0480721")</f>
        <v>0480721</v>
      </c>
    </row>
    <row r="913" spans="1:9">
      <c r="A913" s="290">
        <v>480732</v>
      </c>
      <c r="B913" s="289" t="s">
        <v>667</v>
      </c>
      <c r="C913" s="289" t="s">
        <v>668</v>
      </c>
      <c r="D913" s="289" t="s">
        <v>5288</v>
      </c>
      <c r="E913" s="289" t="s">
        <v>5289</v>
      </c>
      <c r="F913" s="289" t="s">
        <v>5290</v>
      </c>
      <c r="I913" s="289" t="str">
        <f>("0480732")</f>
        <v>0480732</v>
      </c>
    </row>
    <row r="914" spans="1:9">
      <c r="A914" s="290">
        <v>480743</v>
      </c>
      <c r="B914" s="289" t="s">
        <v>667</v>
      </c>
      <c r="C914" s="289" t="s">
        <v>668</v>
      </c>
      <c r="D914" s="289" t="s">
        <v>3732</v>
      </c>
      <c r="E914" s="289" t="s">
        <v>3733</v>
      </c>
      <c r="F914" s="289" t="s">
        <v>3734</v>
      </c>
      <c r="I914" s="289" t="str">
        <f>("0480743")</f>
        <v>0480743</v>
      </c>
    </row>
    <row r="915" spans="1:9">
      <c r="A915" s="290">
        <v>481722</v>
      </c>
      <c r="B915" s="289" t="s">
        <v>34</v>
      </c>
      <c r="C915" s="289" t="s">
        <v>35</v>
      </c>
      <c r="D915" s="289" t="s">
        <v>3735</v>
      </c>
      <c r="E915" s="289" t="s">
        <v>3736</v>
      </c>
      <c r="F915" s="289" t="s">
        <v>3737</v>
      </c>
      <c r="I915" s="289" t="str">
        <f>("0481722")</f>
        <v>0481722</v>
      </c>
    </row>
    <row r="916" spans="1:9">
      <c r="A916" s="290">
        <v>484411</v>
      </c>
      <c r="B916" s="289" t="s">
        <v>3117</v>
      </c>
      <c r="C916" s="289" t="s">
        <v>668</v>
      </c>
      <c r="D916" s="289" t="s">
        <v>5291</v>
      </c>
      <c r="E916" s="289" t="s">
        <v>4719</v>
      </c>
      <c r="F916" s="289" t="s">
        <v>5292</v>
      </c>
      <c r="I916" s="289" t="str">
        <f>("0484411")</f>
        <v>0484411</v>
      </c>
    </row>
    <row r="917" spans="1:9">
      <c r="A917" s="290">
        <v>484422</v>
      </c>
      <c r="B917" s="289" t="s">
        <v>3117</v>
      </c>
      <c r="C917" s="289" t="s">
        <v>668</v>
      </c>
      <c r="D917" s="289" t="s">
        <v>3750</v>
      </c>
      <c r="E917" s="289" t="s">
        <v>3751</v>
      </c>
      <c r="F917" s="289" t="s">
        <v>3752</v>
      </c>
      <c r="I917" s="289" t="str">
        <f>("0484422")</f>
        <v>0484422</v>
      </c>
    </row>
    <row r="918" spans="1:9">
      <c r="A918" s="290">
        <v>484781</v>
      </c>
      <c r="B918" s="289" t="s">
        <v>1537</v>
      </c>
      <c r="C918" s="289" t="s">
        <v>1574</v>
      </c>
      <c r="D918" s="289" t="s">
        <v>3753</v>
      </c>
      <c r="E918" s="289" t="s">
        <v>3754</v>
      </c>
      <c r="F918" s="289" t="s">
        <v>3755</v>
      </c>
      <c r="I918" s="289" t="str">
        <f>("0484781")</f>
        <v>0484781</v>
      </c>
    </row>
    <row r="919" spans="1:9">
      <c r="A919" s="290">
        <v>485388</v>
      </c>
      <c r="B919" s="289" t="s">
        <v>1537</v>
      </c>
      <c r="C919" s="289" t="s">
        <v>1543</v>
      </c>
      <c r="D919" s="289" t="s">
        <v>3756</v>
      </c>
      <c r="E919" s="289" t="s">
        <v>3757</v>
      </c>
      <c r="F919" s="289" t="s">
        <v>3758</v>
      </c>
      <c r="I919" s="289" t="str">
        <f>("0485388")</f>
        <v>0485388</v>
      </c>
    </row>
    <row r="920" spans="1:9">
      <c r="A920" s="290">
        <v>485399</v>
      </c>
      <c r="B920" s="289" t="s">
        <v>1537</v>
      </c>
      <c r="C920" s="289" t="s">
        <v>1543</v>
      </c>
      <c r="D920" s="289" t="s">
        <v>3759</v>
      </c>
      <c r="E920" s="289" t="s">
        <v>3760</v>
      </c>
      <c r="F920" s="289" t="s">
        <v>3761</v>
      </c>
      <c r="I920" s="289" t="str">
        <f>("0485399")</f>
        <v>0485399</v>
      </c>
    </row>
    <row r="921" spans="1:9">
      <c r="A921" s="290">
        <v>486817</v>
      </c>
      <c r="B921" s="289" t="s">
        <v>34</v>
      </c>
      <c r="C921" s="289" t="s">
        <v>35</v>
      </c>
      <c r="D921" s="289" t="s">
        <v>3762</v>
      </c>
      <c r="E921" s="289" t="s">
        <v>3763</v>
      </c>
      <c r="F921" s="289" t="s">
        <v>3764</v>
      </c>
      <c r="I921" s="289" t="str">
        <f>("0486817")</f>
        <v>0486817</v>
      </c>
    </row>
    <row r="922" spans="1:9">
      <c r="A922" s="290">
        <v>486828</v>
      </c>
      <c r="B922" s="289" t="s">
        <v>34</v>
      </c>
      <c r="C922" s="289" t="s">
        <v>35</v>
      </c>
      <c r="D922" s="289" t="s">
        <v>3765</v>
      </c>
      <c r="E922" s="289" t="s">
        <v>3766</v>
      </c>
      <c r="F922" s="289" t="s">
        <v>3767</v>
      </c>
      <c r="I922" s="289" t="str">
        <f>("0486828")</f>
        <v>0486828</v>
      </c>
    </row>
    <row r="923" spans="1:9">
      <c r="A923" s="290">
        <v>486862</v>
      </c>
      <c r="B923" s="289" t="s">
        <v>3117</v>
      </c>
      <c r="C923" s="289" t="s">
        <v>668</v>
      </c>
      <c r="D923" s="289" t="s">
        <v>3768</v>
      </c>
      <c r="E923" s="289" t="s">
        <v>3769</v>
      </c>
      <c r="F923" s="289" t="s">
        <v>3770</v>
      </c>
      <c r="I923" s="289" t="str">
        <f>("0486862")</f>
        <v>0486862</v>
      </c>
    </row>
    <row r="924" spans="1:9">
      <c r="A924" s="290">
        <v>487278</v>
      </c>
      <c r="B924" s="289" t="s">
        <v>1537</v>
      </c>
      <c r="C924" s="289" t="s">
        <v>1539</v>
      </c>
      <c r="D924" s="289" t="s">
        <v>3771</v>
      </c>
      <c r="E924" s="289" t="s">
        <v>3772</v>
      </c>
      <c r="F924" s="289" t="s">
        <v>3773</v>
      </c>
      <c r="I924" s="289" t="str">
        <f>("0487278")</f>
        <v>0487278</v>
      </c>
    </row>
    <row r="925" spans="1:9">
      <c r="A925" s="290">
        <v>488448</v>
      </c>
      <c r="B925" s="289" t="s">
        <v>630</v>
      </c>
      <c r="C925" s="289" t="s">
        <v>30</v>
      </c>
      <c r="D925" s="289" t="s">
        <v>132</v>
      </c>
      <c r="E925" s="289" t="s">
        <v>133</v>
      </c>
      <c r="F925" s="289" t="s">
        <v>3774</v>
      </c>
      <c r="I925" s="289" t="str">
        <f>("0488448")</f>
        <v>0488448</v>
      </c>
    </row>
    <row r="926" spans="1:9">
      <c r="A926" s="290">
        <v>488471</v>
      </c>
      <c r="B926" s="289" t="s">
        <v>667</v>
      </c>
      <c r="C926" s="289" t="s">
        <v>668</v>
      </c>
      <c r="D926" s="289" t="s">
        <v>3775</v>
      </c>
      <c r="E926" s="289" t="s">
        <v>3776</v>
      </c>
      <c r="F926" s="289" t="s">
        <v>3777</v>
      </c>
      <c r="I926" s="289" t="str">
        <f>("0488471")</f>
        <v>0488471</v>
      </c>
    </row>
    <row r="927" spans="1:9">
      <c r="A927" s="290">
        <v>488493</v>
      </c>
      <c r="B927" s="289" t="s">
        <v>667</v>
      </c>
      <c r="C927" s="289" t="s">
        <v>668</v>
      </c>
      <c r="D927" s="289" t="s">
        <v>3778</v>
      </c>
      <c r="E927" s="289" t="s">
        <v>3779</v>
      </c>
      <c r="F927" s="289" t="s">
        <v>3780</v>
      </c>
      <c r="I927" s="289" t="str">
        <f>("0488493")</f>
        <v>0488493</v>
      </c>
    </row>
    <row r="928" spans="1:9">
      <c r="A928" s="290">
        <v>489281</v>
      </c>
      <c r="B928" s="289" t="s">
        <v>667</v>
      </c>
      <c r="C928" s="289" t="s">
        <v>668</v>
      </c>
      <c r="D928" s="289" t="s">
        <v>3781</v>
      </c>
      <c r="E928" s="289" t="s">
        <v>4987</v>
      </c>
      <c r="F928" s="289" t="s">
        <v>3782</v>
      </c>
      <c r="I928" s="289" t="str">
        <f>("0489281")</f>
        <v>0489281</v>
      </c>
    </row>
    <row r="929" spans="1:9">
      <c r="A929" s="290">
        <v>489292</v>
      </c>
      <c r="B929" s="289" t="s">
        <v>667</v>
      </c>
      <c r="C929" s="289" t="s">
        <v>668</v>
      </c>
      <c r="D929" s="289" t="s">
        <v>3783</v>
      </c>
      <c r="E929" s="289" t="s">
        <v>3784</v>
      </c>
      <c r="F929" s="289" t="s">
        <v>3785</v>
      </c>
      <c r="I929" s="289" t="str">
        <f>("0489292")</f>
        <v>0489292</v>
      </c>
    </row>
    <row r="930" spans="1:9">
      <c r="A930" s="290">
        <v>491464</v>
      </c>
      <c r="B930" s="289" t="s">
        <v>667</v>
      </c>
      <c r="C930" s="289" t="s">
        <v>668</v>
      </c>
      <c r="D930" s="289" t="s">
        <v>3798</v>
      </c>
      <c r="E930" s="289" t="s">
        <v>3799</v>
      </c>
      <c r="F930" s="289" t="s">
        <v>3800</v>
      </c>
      <c r="I930" s="289" t="str">
        <f>("0491464")</f>
        <v>0491464</v>
      </c>
    </row>
    <row r="931" spans="1:9">
      <c r="A931" s="290">
        <v>491622</v>
      </c>
      <c r="B931" s="289" t="s">
        <v>667</v>
      </c>
      <c r="C931" s="289" t="s">
        <v>668</v>
      </c>
      <c r="D931" s="289" t="s">
        <v>3801</v>
      </c>
      <c r="E931" s="289" t="s">
        <v>3802</v>
      </c>
      <c r="F931" s="289" t="s">
        <v>3803</v>
      </c>
      <c r="I931" s="289" t="str">
        <f>("0491622")</f>
        <v>0491622</v>
      </c>
    </row>
    <row r="932" spans="1:9">
      <c r="A932" s="290">
        <v>492926</v>
      </c>
      <c r="B932" s="289" t="s">
        <v>667</v>
      </c>
      <c r="C932" s="289" t="s">
        <v>668</v>
      </c>
      <c r="D932" s="289" t="s">
        <v>638</v>
      </c>
      <c r="E932" s="289" t="s">
        <v>3812</v>
      </c>
      <c r="F932" s="289" t="s">
        <v>640</v>
      </c>
      <c r="I932" s="289" t="str">
        <f>("0492926")</f>
        <v>0492926</v>
      </c>
    </row>
    <row r="933" spans="1:9">
      <c r="A933" s="290">
        <v>494209</v>
      </c>
      <c r="B933" s="289" t="s">
        <v>34</v>
      </c>
      <c r="C933" s="289" t="s">
        <v>35</v>
      </c>
      <c r="D933" s="289" t="s">
        <v>4745</v>
      </c>
      <c r="E933" s="289" t="s">
        <v>4746</v>
      </c>
      <c r="F933" s="289" t="s">
        <v>4747</v>
      </c>
      <c r="I933" s="289" t="str">
        <f>("0494209")</f>
        <v>0494209</v>
      </c>
    </row>
    <row r="934" spans="1:9">
      <c r="A934" s="290">
        <v>494265</v>
      </c>
      <c r="B934" s="289" t="s">
        <v>34</v>
      </c>
      <c r="C934" s="289" t="s">
        <v>35</v>
      </c>
      <c r="D934" s="289" t="s">
        <v>3813</v>
      </c>
      <c r="E934" s="289" t="s">
        <v>3814</v>
      </c>
      <c r="F934" s="289" t="s">
        <v>3815</v>
      </c>
      <c r="I934" s="289" t="str">
        <f>("0494265")</f>
        <v>0494265</v>
      </c>
    </row>
    <row r="935" spans="1:9">
      <c r="A935" s="290">
        <v>494287</v>
      </c>
      <c r="B935" s="289" t="s">
        <v>34</v>
      </c>
      <c r="C935" s="289" t="s">
        <v>35</v>
      </c>
      <c r="D935" s="289" t="s">
        <v>3816</v>
      </c>
      <c r="E935" s="289" t="s">
        <v>3817</v>
      </c>
      <c r="F935" s="289" t="s">
        <v>3818</v>
      </c>
      <c r="I935" s="289" t="str">
        <f>("0494287")</f>
        <v>0494287</v>
      </c>
    </row>
    <row r="936" spans="1:9">
      <c r="A936" s="290">
        <v>494838</v>
      </c>
      <c r="B936" s="289" t="s">
        <v>34</v>
      </c>
      <c r="C936" s="289" t="s">
        <v>35</v>
      </c>
      <c r="D936" s="289" t="s">
        <v>3819</v>
      </c>
      <c r="E936" s="289" t="s">
        <v>3820</v>
      </c>
      <c r="F936" s="289" t="s">
        <v>3821</v>
      </c>
      <c r="I936" s="289" t="str">
        <f>("0494838")</f>
        <v>0494838</v>
      </c>
    </row>
    <row r="937" spans="1:9">
      <c r="A937" s="290">
        <v>494850</v>
      </c>
      <c r="B937" s="289" t="s">
        <v>34</v>
      </c>
      <c r="C937" s="289" t="s">
        <v>35</v>
      </c>
      <c r="D937" s="289" t="s">
        <v>3822</v>
      </c>
      <c r="E937" s="289" t="s">
        <v>3823</v>
      </c>
      <c r="F937" s="289" t="s">
        <v>3824</v>
      </c>
      <c r="I937" s="289" t="str">
        <f>("0494850")</f>
        <v>0494850</v>
      </c>
    </row>
    <row r="938" spans="1:9">
      <c r="A938" s="290">
        <v>494872</v>
      </c>
      <c r="B938" s="289" t="s">
        <v>34</v>
      </c>
      <c r="C938" s="289" t="s">
        <v>35</v>
      </c>
      <c r="D938" s="289" t="s">
        <v>3825</v>
      </c>
      <c r="E938" s="289" t="s">
        <v>3826</v>
      </c>
      <c r="F938" s="289" t="s">
        <v>3827</v>
      </c>
      <c r="I938" s="289" t="str">
        <f>("0494872")</f>
        <v>0494872</v>
      </c>
    </row>
    <row r="939" spans="1:9">
      <c r="A939" s="290">
        <v>495435</v>
      </c>
      <c r="B939" s="289" t="s">
        <v>630</v>
      </c>
      <c r="C939" s="289" t="s">
        <v>30</v>
      </c>
      <c r="D939" s="289" t="s">
        <v>3828</v>
      </c>
      <c r="E939" s="289" t="s">
        <v>3829</v>
      </c>
      <c r="F939" s="289" t="s">
        <v>3830</v>
      </c>
      <c r="I939" s="289" t="str">
        <f>("0495435")</f>
        <v>0495435</v>
      </c>
    </row>
    <row r="940" spans="1:9">
      <c r="A940" s="290">
        <v>496379</v>
      </c>
      <c r="B940" s="289" t="s">
        <v>1537</v>
      </c>
      <c r="C940" s="289" t="s">
        <v>1539</v>
      </c>
      <c r="D940" s="289" t="s">
        <v>3831</v>
      </c>
      <c r="E940" s="289" t="s">
        <v>3832</v>
      </c>
      <c r="F940" s="289" t="s">
        <v>3833</v>
      </c>
      <c r="I940" s="289" t="str">
        <f>("0496379")</f>
        <v>0496379</v>
      </c>
    </row>
    <row r="941" spans="1:9">
      <c r="A941" s="290">
        <v>496403</v>
      </c>
      <c r="B941" s="289" t="s">
        <v>1537</v>
      </c>
      <c r="C941" s="289" t="s">
        <v>1574</v>
      </c>
      <c r="D941" s="289" t="s">
        <v>3834</v>
      </c>
      <c r="E941" s="289" t="s">
        <v>3834</v>
      </c>
      <c r="F941" s="289" t="s">
        <v>3835</v>
      </c>
      <c r="I941" s="289" t="str">
        <f>("0496403")</f>
        <v>0496403</v>
      </c>
    </row>
    <row r="942" spans="1:9">
      <c r="A942" s="290">
        <v>496414</v>
      </c>
      <c r="B942" s="289" t="s">
        <v>1537</v>
      </c>
      <c r="C942" s="289" t="s">
        <v>1574</v>
      </c>
      <c r="D942" s="289" t="s">
        <v>3836</v>
      </c>
      <c r="E942" s="289" t="s">
        <v>3837</v>
      </c>
      <c r="F942" s="289" t="s">
        <v>3838</v>
      </c>
      <c r="I942" s="289" t="str">
        <f>("0496414")</f>
        <v>0496414</v>
      </c>
    </row>
    <row r="943" spans="1:9">
      <c r="A943" s="290">
        <v>497099</v>
      </c>
      <c r="B943" s="289" t="s">
        <v>667</v>
      </c>
      <c r="C943" s="289" t="s">
        <v>668</v>
      </c>
      <c r="D943" s="289" t="s">
        <v>3839</v>
      </c>
      <c r="E943" s="289" t="s">
        <v>3840</v>
      </c>
      <c r="F943" s="289" t="s">
        <v>3841</v>
      </c>
      <c r="I943" s="289" t="str">
        <f>("0497099")</f>
        <v>0497099</v>
      </c>
    </row>
    <row r="944" spans="1:9">
      <c r="A944" s="290">
        <v>497954</v>
      </c>
      <c r="B944" s="289" t="s">
        <v>667</v>
      </c>
      <c r="C944" s="289" t="s">
        <v>668</v>
      </c>
      <c r="D944" s="289" t="s">
        <v>3842</v>
      </c>
      <c r="E944" s="289" t="s">
        <v>3843</v>
      </c>
      <c r="F944" s="289" t="s">
        <v>3844</v>
      </c>
      <c r="I944" s="289" t="str">
        <f>("0497954")</f>
        <v>0497954</v>
      </c>
    </row>
    <row r="945" spans="1:9">
      <c r="A945" s="290">
        <v>497976</v>
      </c>
      <c r="B945" s="289" t="s">
        <v>667</v>
      </c>
      <c r="C945" s="289" t="s">
        <v>668</v>
      </c>
      <c r="D945" s="289" t="s">
        <v>3845</v>
      </c>
      <c r="E945" s="289" t="s">
        <v>3845</v>
      </c>
      <c r="F945" s="289" t="s">
        <v>3846</v>
      </c>
      <c r="I945" s="289" t="str">
        <f>("0497976")</f>
        <v>0497976</v>
      </c>
    </row>
    <row r="946" spans="1:9">
      <c r="A946" s="290">
        <v>497987</v>
      </c>
      <c r="B946" s="289" t="s">
        <v>667</v>
      </c>
      <c r="C946" s="289" t="s">
        <v>668</v>
      </c>
      <c r="D946" s="289" t="s">
        <v>655</v>
      </c>
      <c r="E946" s="289" t="s">
        <v>656</v>
      </c>
      <c r="F946" s="289" t="s">
        <v>657</v>
      </c>
      <c r="I946" s="289" t="str">
        <f>("0497987")</f>
        <v>0497987</v>
      </c>
    </row>
    <row r="947" spans="1:9">
      <c r="A947" s="290">
        <v>497998</v>
      </c>
      <c r="B947" s="289" t="s">
        <v>667</v>
      </c>
      <c r="C947" s="289" t="s">
        <v>668</v>
      </c>
      <c r="D947" s="289" t="s">
        <v>3847</v>
      </c>
      <c r="E947" s="289" t="s">
        <v>3848</v>
      </c>
      <c r="F947" s="289" t="s">
        <v>3849</v>
      </c>
      <c r="I947" s="289" t="str">
        <f>("0497998")</f>
        <v>0497998</v>
      </c>
    </row>
    <row r="948" spans="1:9">
      <c r="A948" s="290">
        <v>499653</v>
      </c>
      <c r="B948" s="289" t="s">
        <v>1537</v>
      </c>
      <c r="C948" s="289" t="s">
        <v>1574</v>
      </c>
      <c r="D948" s="289" t="s">
        <v>3850</v>
      </c>
      <c r="E948" s="289" t="s">
        <v>3851</v>
      </c>
      <c r="F948" s="289" t="s">
        <v>3852</v>
      </c>
      <c r="I948" s="289" t="str">
        <f>("0499653")</f>
        <v>0499653</v>
      </c>
    </row>
    <row r="949" spans="1:9">
      <c r="A949" s="290">
        <v>500858</v>
      </c>
      <c r="B949" s="289" t="s">
        <v>667</v>
      </c>
      <c r="C949" s="289" t="s">
        <v>668</v>
      </c>
      <c r="D949" s="289" t="s">
        <v>3853</v>
      </c>
      <c r="E949" s="289" t="s">
        <v>3854</v>
      </c>
      <c r="F949" s="289" t="s">
        <v>3855</v>
      </c>
      <c r="I949" s="289" t="str">
        <f>("0500858")</f>
        <v>0500858</v>
      </c>
    </row>
    <row r="950" spans="1:9">
      <c r="A950" s="290">
        <v>501275</v>
      </c>
      <c r="B950" s="289" t="s">
        <v>29</v>
      </c>
      <c r="C950" s="289" t="s">
        <v>212</v>
      </c>
      <c r="D950" s="289" t="s">
        <v>3856</v>
      </c>
      <c r="E950" s="289" t="s">
        <v>3857</v>
      </c>
      <c r="F950" s="289" t="s">
        <v>3858</v>
      </c>
      <c r="I950" s="289" t="str">
        <f>("0501275")</f>
        <v>0501275</v>
      </c>
    </row>
    <row r="951" spans="1:9">
      <c r="A951" s="290">
        <v>501310</v>
      </c>
      <c r="B951" s="289" t="s">
        <v>1537</v>
      </c>
      <c r="C951" s="289" t="s">
        <v>1543</v>
      </c>
      <c r="D951" s="289" t="s">
        <v>3859</v>
      </c>
      <c r="E951" s="289" t="s">
        <v>3860</v>
      </c>
      <c r="F951" s="289" t="s">
        <v>3861</v>
      </c>
      <c r="I951" s="289" t="str">
        <f>("0501310")</f>
        <v>0501310</v>
      </c>
    </row>
    <row r="952" spans="1:9">
      <c r="A952" s="290">
        <v>501332</v>
      </c>
      <c r="B952" s="289" t="s">
        <v>667</v>
      </c>
      <c r="C952" s="289" t="s">
        <v>668</v>
      </c>
      <c r="D952" s="289" t="s">
        <v>3862</v>
      </c>
      <c r="E952" s="289" t="s">
        <v>3863</v>
      </c>
      <c r="F952" s="289" t="s">
        <v>3864</v>
      </c>
      <c r="I952" s="289" t="str">
        <f>("0501332")</f>
        <v>0501332</v>
      </c>
    </row>
    <row r="953" spans="1:9">
      <c r="A953" s="290">
        <v>501387</v>
      </c>
      <c r="B953" s="289" t="s">
        <v>667</v>
      </c>
      <c r="C953" s="289" t="s">
        <v>668</v>
      </c>
      <c r="D953" s="289" t="s">
        <v>3865</v>
      </c>
      <c r="E953" s="289" t="s">
        <v>3866</v>
      </c>
      <c r="F953" s="289" t="s">
        <v>3867</v>
      </c>
      <c r="I953" s="289" t="str">
        <f>("0501387")</f>
        <v>0501387</v>
      </c>
    </row>
    <row r="954" spans="1:9">
      <c r="A954" s="290">
        <v>501590</v>
      </c>
      <c r="B954" s="289" t="s">
        <v>667</v>
      </c>
      <c r="C954" s="289" t="s">
        <v>668</v>
      </c>
      <c r="D954" s="289" t="s">
        <v>3868</v>
      </c>
      <c r="E954" s="289" t="s">
        <v>3869</v>
      </c>
      <c r="F954" s="289" t="s">
        <v>3870</v>
      </c>
      <c r="I954" s="289" t="str">
        <f>("0501590")</f>
        <v>0501590</v>
      </c>
    </row>
    <row r="955" spans="1:9">
      <c r="A955" s="290">
        <v>503211</v>
      </c>
      <c r="B955" s="289" t="s">
        <v>3117</v>
      </c>
      <c r="C955" s="289" t="s">
        <v>668</v>
      </c>
      <c r="D955" s="289" t="s">
        <v>3871</v>
      </c>
      <c r="E955" s="289" t="s">
        <v>3872</v>
      </c>
      <c r="F955" s="289" t="s">
        <v>3873</v>
      </c>
      <c r="I955" s="289" t="str">
        <f>("0503211")</f>
        <v>0503211</v>
      </c>
    </row>
    <row r="956" spans="1:9">
      <c r="A956" s="290">
        <v>503222</v>
      </c>
      <c r="B956" s="289" t="s">
        <v>3117</v>
      </c>
      <c r="C956" s="289" t="s">
        <v>668</v>
      </c>
      <c r="D956" s="289" t="s">
        <v>3874</v>
      </c>
      <c r="E956" s="289" t="s">
        <v>3874</v>
      </c>
      <c r="F956" s="289" t="s">
        <v>3875</v>
      </c>
      <c r="I956" s="289" t="str">
        <f>("0503222")</f>
        <v>0503222</v>
      </c>
    </row>
    <row r="957" spans="1:9">
      <c r="A957" s="290">
        <v>503299</v>
      </c>
      <c r="B957" s="289" t="s">
        <v>1537</v>
      </c>
      <c r="C957" s="289" t="s">
        <v>1543</v>
      </c>
      <c r="D957" s="289" t="s">
        <v>381</v>
      </c>
      <c r="E957" s="289" t="s">
        <v>382</v>
      </c>
      <c r="F957" s="289" t="s">
        <v>3876</v>
      </c>
      <c r="I957" s="289" t="str">
        <f>("0503299")</f>
        <v>0503299</v>
      </c>
    </row>
    <row r="958" spans="1:9">
      <c r="A958" s="290">
        <v>503963</v>
      </c>
      <c r="B958" s="289" t="s">
        <v>34</v>
      </c>
      <c r="C958" s="289" t="s">
        <v>35</v>
      </c>
      <c r="D958" s="289" t="s">
        <v>3877</v>
      </c>
      <c r="E958" s="289" t="s">
        <v>3878</v>
      </c>
      <c r="F958" s="289" t="s">
        <v>3879</v>
      </c>
      <c r="I958" s="289" t="str">
        <f>("0503963")</f>
        <v>0503963</v>
      </c>
    </row>
    <row r="959" spans="1:9">
      <c r="A959" s="290">
        <v>504009</v>
      </c>
      <c r="B959" s="289" t="s">
        <v>34</v>
      </c>
      <c r="C959" s="289" t="s">
        <v>35</v>
      </c>
      <c r="D959" s="289" t="s">
        <v>3880</v>
      </c>
      <c r="E959" s="289" t="s">
        <v>3881</v>
      </c>
      <c r="F959" s="289" t="s">
        <v>3882</v>
      </c>
      <c r="I959" s="289" t="str">
        <f>("0504009")</f>
        <v>0504009</v>
      </c>
    </row>
    <row r="960" spans="1:9">
      <c r="A960" s="290">
        <v>504054</v>
      </c>
      <c r="B960" s="289" t="s">
        <v>34</v>
      </c>
      <c r="C960" s="289" t="s">
        <v>35</v>
      </c>
      <c r="D960" s="289" t="s">
        <v>3883</v>
      </c>
      <c r="E960" s="289" t="s">
        <v>3884</v>
      </c>
      <c r="F960" s="289" t="s">
        <v>3885</v>
      </c>
      <c r="I960" s="289" t="str">
        <f>("0504054")</f>
        <v>0504054</v>
      </c>
    </row>
    <row r="961" spans="1:9">
      <c r="A961" s="290">
        <v>504076</v>
      </c>
      <c r="B961" s="289" t="s">
        <v>34</v>
      </c>
      <c r="C961" s="289" t="s">
        <v>35</v>
      </c>
      <c r="D961" s="289" t="s">
        <v>3886</v>
      </c>
      <c r="E961" s="289" t="s">
        <v>3887</v>
      </c>
      <c r="F961" s="289" t="s">
        <v>3888</v>
      </c>
      <c r="I961" s="289" t="str">
        <f>("0504076")</f>
        <v>0504076</v>
      </c>
    </row>
    <row r="962" spans="1:9">
      <c r="A962" s="290">
        <v>504100</v>
      </c>
      <c r="B962" s="289" t="s">
        <v>34</v>
      </c>
      <c r="C962" s="289" t="s">
        <v>35</v>
      </c>
      <c r="D962" s="289" t="s">
        <v>3889</v>
      </c>
      <c r="E962" s="289" t="s">
        <v>3890</v>
      </c>
      <c r="F962" s="289" t="s">
        <v>3891</v>
      </c>
      <c r="I962" s="289" t="str">
        <f>("0504100")</f>
        <v>0504100</v>
      </c>
    </row>
    <row r="963" spans="1:9">
      <c r="A963" s="290">
        <v>504155</v>
      </c>
      <c r="B963" s="289" t="s">
        <v>34</v>
      </c>
      <c r="C963" s="289" t="s">
        <v>35</v>
      </c>
      <c r="D963" s="289" t="s">
        <v>3892</v>
      </c>
      <c r="E963" s="289" t="s">
        <v>3893</v>
      </c>
      <c r="F963" s="289" t="s">
        <v>3894</v>
      </c>
      <c r="I963" s="289" t="str">
        <f>("0504155")</f>
        <v>0504155</v>
      </c>
    </row>
    <row r="964" spans="1:9">
      <c r="A964" s="290">
        <v>504379</v>
      </c>
      <c r="B964" s="289" t="s">
        <v>630</v>
      </c>
      <c r="C964" s="289" t="s">
        <v>30</v>
      </c>
      <c r="D964" s="289" t="s">
        <v>5293</v>
      </c>
      <c r="E964" s="289" t="s">
        <v>5294</v>
      </c>
      <c r="F964" s="289" t="s">
        <v>5295</v>
      </c>
      <c r="I964" s="289" t="str">
        <f>("0504379")</f>
        <v>0504379</v>
      </c>
    </row>
    <row r="965" spans="1:9">
      <c r="A965" s="290">
        <v>506001</v>
      </c>
      <c r="B965" s="289" t="s">
        <v>1537</v>
      </c>
      <c r="C965" s="289" t="s">
        <v>3000</v>
      </c>
      <c r="D965" s="289" t="s">
        <v>3895</v>
      </c>
      <c r="E965" s="289" t="s">
        <v>3896</v>
      </c>
      <c r="F965" s="289" t="s">
        <v>3897</v>
      </c>
      <c r="I965" s="289" t="str">
        <f>("0506001")</f>
        <v>0506001</v>
      </c>
    </row>
    <row r="966" spans="1:9">
      <c r="A966" s="290">
        <v>506809</v>
      </c>
      <c r="B966" s="289" t="s">
        <v>667</v>
      </c>
      <c r="C966" s="289" t="s">
        <v>668</v>
      </c>
      <c r="D966" s="289" t="s">
        <v>3898</v>
      </c>
      <c r="E966" s="289" t="s">
        <v>3899</v>
      </c>
      <c r="F966" s="289" t="s">
        <v>3900</v>
      </c>
      <c r="I966" s="289" t="str">
        <f>("0506809")</f>
        <v>0506809</v>
      </c>
    </row>
    <row r="967" spans="1:9">
      <c r="A967" s="290">
        <v>506810</v>
      </c>
      <c r="B967" s="289" t="s">
        <v>667</v>
      </c>
      <c r="C967" s="289" t="s">
        <v>668</v>
      </c>
      <c r="D967" s="289" t="s">
        <v>132</v>
      </c>
      <c r="E967" s="289" t="s">
        <v>133</v>
      </c>
      <c r="F967" s="289" t="s">
        <v>3901</v>
      </c>
      <c r="I967" s="289" t="str">
        <f>("0506810")</f>
        <v>0506810</v>
      </c>
    </row>
    <row r="968" spans="1:9">
      <c r="A968" s="290">
        <v>506843</v>
      </c>
      <c r="B968" s="289" t="s">
        <v>667</v>
      </c>
      <c r="C968" s="289" t="s">
        <v>668</v>
      </c>
      <c r="D968" s="289" t="s">
        <v>3902</v>
      </c>
      <c r="E968" s="289" t="s">
        <v>3903</v>
      </c>
      <c r="F968" s="289" t="s">
        <v>3904</v>
      </c>
      <c r="I968" s="289" t="str">
        <f>("0506843")</f>
        <v>0506843</v>
      </c>
    </row>
    <row r="969" spans="1:9">
      <c r="A969" s="290">
        <v>508665</v>
      </c>
      <c r="B969" s="289" t="s">
        <v>667</v>
      </c>
      <c r="C969" s="289" t="s">
        <v>668</v>
      </c>
      <c r="D969" s="289" t="s">
        <v>3905</v>
      </c>
      <c r="E969" s="289" t="s">
        <v>3905</v>
      </c>
      <c r="F969" s="289" t="s">
        <v>3906</v>
      </c>
      <c r="I969" s="289" t="str">
        <f>("0508665")</f>
        <v>0508665</v>
      </c>
    </row>
    <row r="970" spans="1:9">
      <c r="A970" s="290">
        <v>508687</v>
      </c>
      <c r="B970" s="289" t="s">
        <v>667</v>
      </c>
      <c r="C970" s="289" t="s">
        <v>668</v>
      </c>
      <c r="D970" s="289" t="s">
        <v>4988</v>
      </c>
      <c r="E970" s="289" t="s">
        <v>4988</v>
      </c>
      <c r="F970" s="289" t="s">
        <v>4989</v>
      </c>
      <c r="I970" s="289" t="str">
        <f>("0508687")</f>
        <v>0508687</v>
      </c>
    </row>
    <row r="971" spans="1:9">
      <c r="A971" s="290">
        <v>509059</v>
      </c>
      <c r="B971" s="289" t="s">
        <v>1537</v>
      </c>
      <c r="C971" s="289" t="s">
        <v>1543</v>
      </c>
      <c r="D971" s="289" t="s">
        <v>3907</v>
      </c>
      <c r="E971" s="289" t="s">
        <v>3908</v>
      </c>
      <c r="F971" s="289" t="s">
        <v>3909</v>
      </c>
      <c r="I971" s="289" t="str">
        <f>("0509059")</f>
        <v>0509059</v>
      </c>
    </row>
    <row r="972" spans="1:9">
      <c r="A972" s="290">
        <v>512008</v>
      </c>
      <c r="B972" s="289" t="s">
        <v>1537</v>
      </c>
      <c r="C972" s="289" t="s">
        <v>1543</v>
      </c>
      <c r="D972" s="289" t="s">
        <v>3918</v>
      </c>
      <c r="E972" s="289" t="s">
        <v>3919</v>
      </c>
      <c r="F972" s="289" t="s">
        <v>3920</v>
      </c>
      <c r="I972" s="289" t="str">
        <f>("0512008")</f>
        <v>0512008</v>
      </c>
    </row>
    <row r="973" spans="1:9">
      <c r="A973" s="290">
        <v>512750</v>
      </c>
      <c r="B973" s="289" t="s">
        <v>3117</v>
      </c>
      <c r="C973" s="289" t="s">
        <v>668</v>
      </c>
      <c r="D973" s="289" t="s">
        <v>3921</v>
      </c>
      <c r="E973" s="289" t="s">
        <v>3922</v>
      </c>
      <c r="F973" s="289" t="s">
        <v>3923</v>
      </c>
      <c r="I973" s="289" t="str">
        <f>("0512750")</f>
        <v>0512750</v>
      </c>
    </row>
    <row r="974" spans="1:9">
      <c r="A974" s="290">
        <v>512761</v>
      </c>
      <c r="B974" s="289" t="s">
        <v>3117</v>
      </c>
      <c r="C974" s="289" t="s">
        <v>668</v>
      </c>
      <c r="D974" s="289" t="s">
        <v>3924</v>
      </c>
      <c r="E974" s="289" t="s">
        <v>3925</v>
      </c>
      <c r="F974" s="289" t="s">
        <v>3926</v>
      </c>
      <c r="I974" s="289" t="str">
        <f>("0512761")</f>
        <v>0512761</v>
      </c>
    </row>
    <row r="975" spans="1:9">
      <c r="A975" s="290">
        <v>512985</v>
      </c>
      <c r="B975" s="289" t="s">
        <v>34</v>
      </c>
      <c r="C975" s="289" t="s">
        <v>35</v>
      </c>
      <c r="D975" s="289" t="s">
        <v>3928</v>
      </c>
      <c r="E975" s="289" t="s">
        <v>3929</v>
      </c>
      <c r="F975" s="289" t="s">
        <v>3930</v>
      </c>
      <c r="I975" s="289" t="str">
        <f>("0512985")</f>
        <v>0512985</v>
      </c>
    </row>
    <row r="976" spans="1:9">
      <c r="A976" s="290">
        <v>512996</v>
      </c>
      <c r="B976" s="289" t="s">
        <v>34</v>
      </c>
      <c r="C976" s="289" t="s">
        <v>35</v>
      </c>
      <c r="D976" s="289" t="s">
        <v>3931</v>
      </c>
      <c r="E976" s="289" t="s">
        <v>3932</v>
      </c>
      <c r="F976" s="289" t="s">
        <v>3933</v>
      </c>
      <c r="I976" s="289" t="str">
        <f>("0512996")</f>
        <v>0512996</v>
      </c>
    </row>
    <row r="977" spans="1:9">
      <c r="A977" s="290">
        <v>513009</v>
      </c>
      <c r="B977" s="289" t="s">
        <v>34</v>
      </c>
      <c r="C977" s="289" t="s">
        <v>35</v>
      </c>
      <c r="D977" s="289" t="s">
        <v>3934</v>
      </c>
      <c r="E977" s="289" t="s">
        <v>3935</v>
      </c>
      <c r="F977" s="289" t="s">
        <v>3936</v>
      </c>
      <c r="I977" s="289" t="str">
        <f>("0513009")</f>
        <v>0513009</v>
      </c>
    </row>
    <row r="978" spans="1:9">
      <c r="A978" s="290">
        <v>513032</v>
      </c>
      <c r="B978" s="289" t="s">
        <v>34</v>
      </c>
      <c r="C978" s="289" t="s">
        <v>35</v>
      </c>
      <c r="D978" s="289" t="s">
        <v>3937</v>
      </c>
      <c r="E978" s="289" t="s">
        <v>3938</v>
      </c>
      <c r="F978" s="289" t="s">
        <v>3939</v>
      </c>
      <c r="I978" s="289" t="str">
        <f>("0513032")</f>
        <v>0513032</v>
      </c>
    </row>
    <row r="979" spans="1:9">
      <c r="A979" s="290">
        <v>513054</v>
      </c>
      <c r="B979" s="289" t="s">
        <v>34</v>
      </c>
      <c r="C979" s="289" t="s">
        <v>35</v>
      </c>
      <c r="D979" s="289" t="s">
        <v>3940</v>
      </c>
      <c r="E979" s="289" t="s">
        <v>3941</v>
      </c>
      <c r="F979" s="289" t="s">
        <v>3942</v>
      </c>
      <c r="I979" s="289" t="str">
        <f>("0513054")</f>
        <v>0513054</v>
      </c>
    </row>
    <row r="980" spans="1:9">
      <c r="A980" s="290">
        <v>513199</v>
      </c>
      <c r="B980" s="289" t="s">
        <v>29</v>
      </c>
      <c r="C980" s="289" t="s">
        <v>30</v>
      </c>
      <c r="D980" s="289" t="s">
        <v>3943</v>
      </c>
      <c r="E980" s="289" t="s">
        <v>3944</v>
      </c>
      <c r="F980" s="289" t="s">
        <v>3945</v>
      </c>
      <c r="I980" s="289" t="str">
        <f>("0513199")</f>
        <v>0513199</v>
      </c>
    </row>
    <row r="981" spans="1:9">
      <c r="A981" s="290">
        <v>513762</v>
      </c>
      <c r="B981" s="289" t="s">
        <v>667</v>
      </c>
      <c r="C981" s="289" t="s">
        <v>668</v>
      </c>
      <c r="D981" s="289" t="s">
        <v>3946</v>
      </c>
      <c r="E981" s="289" t="s">
        <v>3947</v>
      </c>
      <c r="F981" s="289" t="s">
        <v>3948</v>
      </c>
      <c r="I981" s="289" t="str">
        <f>("0513762")</f>
        <v>0513762</v>
      </c>
    </row>
    <row r="982" spans="1:9">
      <c r="A982" s="290">
        <v>513829</v>
      </c>
      <c r="B982" s="289" t="s">
        <v>630</v>
      </c>
      <c r="C982" s="289" t="s">
        <v>30</v>
      </c>
      <c r="D982" s="289" t="s">
        <v>3949</v>
      </c>
      <c r="E982" s="289" t="s">
        <v>3950</v>
      </c>
      <c r="F982" s="289" t="s">
        <v>3951</v>
      </c>
      <c r="I982" s="289" t="str">
        <f>("0513829")</f>
        <v>0513829</v>
      </c>
    </row>
    <row r="983" spans="1:9">
      <c r="A983" s="290">
        <v>513830</v>
      </c>
      <c r="B983" s="289" t="s">
        <v>630</v>
      </c>
      <c r="C983" s="289" t="s">
        <v>30</v>
      </c>
      <c r="D983" s="289" t="s">
        <v>3952</v>
      </c>
      <c r="E983" s="289" t="s">
        <v>3953</v>
      </c>
      <c r="F983" s="289" t="s">
        <v>3954</v>
      </c>
      <c r="I983" s="289" t="str">
        <f>("0513830")</f>
        <v>0513830</v>
      </c>
    </row>
    <row r="984" spans="1:9">
      <c r="A984" s="290">
        <v>513863</v>
      </c>
      <c r="B984" s="289" t="s">
        <v>630</v>
      </c>
      <c r="C984" s="289" t="s">
        <v>30</v>
      </c>
      <c r="D984" s="289" t="s">
        <v>3955</v>
      </c>
      <c r="E984" s="289" t="s">
        <v>3955</v>
      </c>
      <c r="F984" s="289" t="s">
        <v>3956</v>
      </c>
      <c r="I984" s="289" t="str">
        <f>("0513863")</f>
        <v>0513863</v>
      </c>
    </row>
    <row r="985" spans="1:9">
      <c r="A985" s="290">
        <v>513896</v>
      </c>
      <c r="B985" s="289" t="s">
        <v>1537</v>
      </c>
      <c r="C985" s="289" t="s">
        <v>1574</v>
      </c>
      <c r="D985" s="289" t="s">
        <v>5296</v>
      </c>
      <c r="E985" s="289" t="s">
        <v>5297</v>
      </c>
      <c r="F985" s="289" t="s">
        <v>5298</v>
      </c>
      <c r="I985" s="289" t="str">
        <f>("0513896")</f>
        <v>0513896</v>
      </c>
    </row>
    <row r="986" spans="1:9">
      <c r="A986" s="290">
        <v>514088</v>
      </c>
      <c r="B986" s="289" t="s">
        <v>667</v>
      </c>
      <c r="C986" s="289" t="s">
        <v>668</v>
      </c>
      <c r="D986" s="289" t="s">
        <v>3957</v>
      </c>
      <c r="E986" s="289" t="s">
        <v>3958</v>
      </c>
      <c r="F986" s="289" t="s">
        <v>3959</v>
      </c>
      <c r="I986" s="289" t="str">
        <f>("0514088")</f>
        <v>0514088</v>
      </c>
    </row>
    <row r="987" spans="1:9">
      <c r="A987" s="290">
        <v>514257</v>
      </c>
      <c r="B987" s="289" t="s">
        <v>667</v>
      </c>
      <c r="C987" s="289" t="s">
        <v>668</v>
      </c>
      <c r="D987" s="289" t="s">
        <v>3960</v>
      </c>
      <c r="E987" s="289" t="s">
        <v>3961</v>
      </c>
      <c r="F987" s="289" t="s">
        <v>3962</v>
      </c>
      <c r="I987" s="289" t="str">
        <f>("0514257")</f>
        <v>0514257</v>
      </c>
    </row>
    <row r="988" spans="1:9">
      <c r="A988" s="290">
        <v>516046</v>
      </c>
      <c r="B988" s="289" t="s">
        <v>667</v>
      </c>
      <c r="C988" s="289" t="s">
        <v>668</v>
      </c>
      <c r="D988" s="289" t="s">
        <v>3963</v>
      </c>
      <c r="E988" s="289" t="s">
        <v>3964</v>
      </c>
      <c r="F988" s="289" t="s">
        <v>4994</v>
      </c>
      <c r="I988" s="289" t="str">
        <f>("0516046")</f>
        <v>0516046</v>
      </c>
    </row>
    <row r="989" spans="1:9">
      <c r="A989" s="290">
        <v>518161</v>
      </c>
      <c r="B989" s="289" t="s">
        <v>667</v>
      </c>
      <c r="C989" s="289" t="s">
        <v>668</v>
      </c>
      <c r="D989" s="289" t="s">
        <v>3965</v>
      </c>
      <c r="E989" s="289" t="s">
        <v>3966</v>
      </c>
      <c r="F989" s="289" t="s">
        <v>3967</v>
      </c>
      <c r="I989" s="289" t="str">
        <f>("0518161")</f>
        <v>0518161</v>
      </c>
    </row>
    <row r="990" spans="1:9">
      <c r="A990" s="290">
        <v>521693</v>
      </c>
      <c r="B990" s="289" t="s">
        <v>667</v>
      </c>
      <c r="C990" s="289" t="s">
        <v>668</v>
      </c>
      <c r="D990" s="289" t="s">
        <v>3968</v>
      </c>
      <c r="E990" s="289" t="s">
        <v>3969</v>
      </c>
      <c r="F990" s="289" t="s">
        <v>3970</v>
      </c>
      <c r="I990" s="289" t="str">
        <f>("0521693")</f>
        <v>0521693</v>
      </c>
    </row>
    <row r="991" spans="1:9">
      <c r="A991" s="290">
        <v>521794</v>
      </c>
      <c r="B991" s="289" t="s">
        <v>667</v>
      </c>
      <c r="C991" s="289" t="s">
        <v>668</v>
      </c>
      <c r="D991" s="289" t="s">
        <v>3971</v>
      </c>
      <c r="E991" s="289" t="s">
        <v>3972</v>
      </c>
      <c r="F991" s="289" t="s">
        <v>3973</v>
      </c>
      <c r="I991" s="289" t="str">
        <f>("0521794")</f>
        <v>0521794</v>
      </c>
    </row>
    <row r="992" spans="1:9">
      <c r="A992" s="290">
        <v>522234</v>
      </c>
      <c r="B992" s="289" t="s">
        <v>667</v>
      </c>
      <c r="C992" s="289" t="s">
        <v>668</v>
      </c>
      <c r="D992" s="289" t="s">
        <v>3974</v>
      </c>
      <c r="E992" s="289" t="s">
        <v>3975</v>
      </c>
      <c r="F992" s="289" t="s">
        <v>3976</v>
      </c>
      <c r="I992" s="289" t="str">
        <f>("0522234")</f>
        <v>0522234</v>
      </c>
    </row>
    <row r="993" spans="1:9">
      <c r="A993" s="290">
        <v>1028669</v>
      </c>
      <c r="B993" s="289" t="s">
        <v>1537</v>
      </c>
      <c r="C993" s="289" t="s">
        <v>1543</v>
      </c>
      <c r="D993" s="289" t="s">
        <v>3977</v>
      </c>
      <c r="E993" s="289" t="s">
        <v>3978</v>
      </c>
      <c r="F993" s="289" t="s">
        <v>3979</v>
      </c>
      <c r="I993" s="289" t="str">
        <f>("1028669")</f>
        <v>1028669</v>
      </c>
    </row>
    <row r="994" spans="1:9">
      <c r="A994" s="290">
        <v>1029314</v>
      </c>
      <c r="B994" s="289" t="s">
        <v>34</v>
      </c>
      <c r="C994" s="289" t="s">
        <v>35</v>
      </c>
      <c r="D994" s="289" t="s">
        <v>3980</v>
      </c>
      <c r="E994" s="289" t="s">
        <v>3981</v>
      </c>
      <c r="F994" s="289" t="s">
        <v>3982</v>
      </c>
      <c r="I994" s="289" t="str">
        <f>("1029314")</f>
        <v>1029314</v>
      </c>
    </row>
    <row r="995" spans="1:9">
      <c r="A995" s="290">
        <v>1029338</v>
      </c>
      <c r="B995" s="289" t="s">
        <v>34</v>
      </c>
      <c r="C995" s="289" t="s">
        <v>35</v>
      </c>
      <c r="D995" s="289" t="s">
        <v>3983</v>
      </c>
      <c r="E995" s="289" t="s">
        <v>3984</v>
      </c>
      <c r="F995" s="289" t="s">
        <v>3985</v>
      </c>
      <c r="I995" s="289" t="str">
        <f>("1029338")</f>
        <v>1029338</v>
      </c>
    </row>
    <row r="996" spans="1:9">
      <c r="A996" s="290">
        <v>1029345</v>
      </c>
      <c r="B996" s="289" t="s">
        <v>34</v>
      </c>
      <c r="C996" s="289" t="s">
        <v>35</v>
      </c>
      <c r="D996" s="289" t="s">
        <v>3986</v>
      </c>
      <c r="E996" s="289" t="s">
        <v>3987</v>
      </c>
      <c r="F996" s="289" t="s">
        <v>3988</v>
      </c>
      <c r="I996" s="289" t="str">
        <f>("1029345")</f>
        <v>1029345</v>
      </c>
    </row>
    <row r="997" spans="1:9">
      <c r="A997" s="290">
        <v>1029352</v>
      </c>
      <c r="B997" s="289" t="s">
        <v>34</v>
      </c>
      <c r="C997" s="289" t="s">
        <v>35</v>
      </c>
      <c r="D997" s="289" t="s">
        <v>3989</v>
      </c>
      <c r="E997" s="289" t="s">
        <v>3990</v>
      </c>
      <c r="F997" s="289" t="s">
        <v>3991</v>
      </c>
      <c r="I997" s="289" t="str">
        <f>("1029352")</f>
        <v>1029352</v>
      </c>
    </row>
    <row r="998" spans="1:9">
      <c r="A998" s="290">
        <v>1029369</v>
      </c>
      <c r="B998" s="289" t="s">
        <v>34</v>
      </c>
      <c r="C998" s="289" t="s">
        <v>35</v>
      </c>
      <c r="D998" s="289" t="s">
        <v>3992</v>
      </c>
      <c r="E998" s="289" t="s">
        <v>3993</v>
      </c>
      <c r="F998" s="289" t="s">
        <v>3994</v>
      </c>
      <c r="I998" s="289" t="str">
        <f>("1029369")</f>
        <v>1029369</v>
      </c>
    </row>
    <row r="999" spans="1:9">
      <c r="A999" s="290">
        <v>1029390</v>
      </c>
      <c r="B999" s="289" t="s">
        <v>34</v>
      </c>
      <c r="C999" s="289" t="s">
        <v>35</v>
      </c>
      <c r="D999" s="289" t="s">
        <v>3995</v>
      </c>
      <c r="E999" s="289" t="s">
        <v>3996</v>
      </c>
      <c r="F999" s="289" t="s">
        <v>3997</v>
      </c>
      <c r="I999" s="289" t="str">
        <f>("1029390")</f>
        <v>1029390</v>
      </c>
    </row>
    <row r="1000" spans="1:9">
      <c r="A1000" s="290">
        <v>1029420</v>
      </c>
      <c r="B1000" s="289" t="s">
        <v>34</v>
      </c>
      <c r="C1000" s="289" t="s">
        <v>35</v>
      </c>
      <c r="D1000" s="289" t="s">
        <v>3998</v>
      </c>
      <c r="E1000" s="289" t="s">
        <v>3999</v>
      </c>
      <c r="F1000" s="289" t="s">
        <v>4000</v>
      </c>
      <c r="I1000" s="289" t="str">
        <f>("1029420")</f>
        <v>1029420</v>
      </c>
    </row>
    <row r="1001" spans="1:9">
      <c r="A1001" s="290">
        <v>1029437</v>
      </c>
      <c r="B1001" s="289" t="s">
        <v>34</v>
      </c>
      <c r="C1001" s="289" t="s">
        <v>35</v>
      </c>
      <c r="D1001" s="289" t="s">
        <v>4001</v>
      </c>
      <c r="E1001" s="289" t="s">
        <v>4002</v>
      </c>
      <c r="F1001" s="289" t="s">
        <v>4003</v>
      </c>
      <c r="I1001" s="289" t="str">
        <f>("1029437")</f>
        <v>1029437</v>
      </c>
    </row>
    <row r="1002" spans="1:9">
      <c r="A1002" s="290">
        <v>1029451</v>
      </c>
      <c r="B1002" s="289" t="s">
        <v>34</v>
      </c>
      <c r="C1002" s="289" t="s">
        <v>35</v>
      </c>
      <c r="D1002" s="289" t="s">
        <v>4004</v>
      </c>
      <c r="E1002" s="289" t="s">
        <v>4005</v>
      </c>
      <c r="F1002" s="289" t="s">
        <v>4006</v>
      </c>
      <c r="I1002" s="289" t="str">
        <f>("1029451")</f>
        <v>1029451</v>
      </c>
    </row>
    <row r="1003" spans="1:9">
      <c r="A1003" s="290">
        <v>1029475</v>
      </c>
      <c r="B1003" s="289" t="s">
        <v>34</v>
      </c>
      <c r="C1003" s="289" t="s">
        <v>35</v>
      </c>
      <c r="D1003" s="289" t="s">
        <v>4007</v>
      </c>
      <c r="E1003" s="289" t="s">
        <v>4008</v>
      </c>
      <c r="F1003" s="289" t="s">
        <v>4009</v>
      </c>
      <c r="I1003" s="289" t="str">
        <f>("1029475")</f>
        <v>1029475</v>
      </c>
    </row>
    <row r="1004" spans="1:9">
      <c r="A1004" s="290">
        <v>1029499</v>
      </c>
      <c r="B1004" s="289" t="s">
        <v>34</v>
      </c>
      <c r="C1004" s="289" t="s">
        <v>35</v>
      </c>
      <c r="D1004" s="289" t="s">
        <v>4010</v>
      </c>
      <c r="E1004" s="289" t="s">
        <v>4011</v>
      </c>
      <c r="F1004" s="289" t="s">
        <v>4012</v>
      </c>
      <c r="I1004" s="289" t="str">
        <f>("1029499")</f>
        <v>1029499</v>
      </c>
    </row>
    <row r="1005" spans="1:9">
      <c r="A1005" s="290">
        <v>1029505</v>
      </c>
      <c r="B1005" s="289" t="s">
        <v>34</v>
      </c>
      <c r="C1005" s="289" t="s">
        <v>35</v>
      </c>
      <c r="D1005" s="289" t="s">
        <v>4013</v>
      </c>
      <c r="E1005" s="289" t="s">
        <v>4014</v>
      </c>
      <c r="F1005" s="289" t="s">
        <v>4015</v>
      </c>
      <c r="I1005" s="289" t="str">
        <f>("1029505")</f>
        <v>1029505</v>
      </c>
    </row>
    <row r="1006" spans="1:9">
      <c r="A1006" s="290">
        <v>1029536</v>
      </c>
      <c r="B1006" s="289" t="s">
        <v>34</v>
      </c>
      <c r="C1006" s="289" t="s">
        <v>35</v>
      </c>
      <c r="D1006" s="289" t="s">
        <v>4016</v>
      </c>
      <c r="E1006" s="289" t="s">
        <v>4017</v>
      </c>
      <c r="F1006" s="289" t="s">
        <v>4018</v>
      </c>
      <c r="I1006" s="289" t="str">
        <f>("1029536")</f>
        <v>1029536</v>
      </c>
    </row>
    <row r="1007" spans="1:9">
      <c r="A1007" s="290">
        <v>1029550</v>
      </c>
      <c r="B1007" s="289" t="s">
        <v>34</v>
      </c>
      <c r="C1007" s="289" t="s">
        <v>35</v>
      </c>
      <c r="D1007" s="289" t="s">
        <v>4019</v>
      </c>
      <c r="E1007" s="289" t="s">
        <v>4020</v>
      </c>
      <c r="F1007" s="289" t="s">
        <v>4021</v>
      </c>
      <c r="I1007" s="289" t="str">
        <f>("1029550")</f>
        <v>1029550</v>
      </c>
    </row>
    <row r="1008" spans="1:9">
      <c r="A1008" s="290">
        <v>1030006</v>
      </c>
      <c r="B1008" s="289" t="s">
        <v>3117</v>
      </c>
      <c r="C1008" s="289" t="s">
        <v>668</v>
      </c>
      <c r="D1008" s="289" t="s">
        <v>4022</v>
      </c>
      <c r="E1008" s="289" t="s">
        <v>4023</v>
      </c>
      <c r="F1008" s="289" t="s">
        <v>4024</v>
      </c>
      <c r="I1008" s="289" t="str">
        <f>("1030006")</f>
        <v>1030006</v>
      </c>
    </row>
    <row r="1009" spans="1:9">
      <c r="A1009" s="290">
        <v>1030013</v>
      </c>
      <c r="B1009" s="289" t="s">
        <v>3117</v>
      </c>
      <c r="C1009" s="289" t="s">
        <v>668</v>
      </c>
      <c r="D1009" s="289" t="s">
        <v>4025</v>
      </c>
      <c r="E1009" s="289" t="s">
        <v>4026</v>
      </c>
      <c r="F1009" s="289" t="s">
        <v>4027</v>
      </c>
      <c r="I1009" s="289" t="str">
        <f>("1030013")</f>
        <v>1030013</v>
      </c>
    </row>
    <row r="1010" spans="1:9">
      <c r="A1010" s="290">
        <v>1030020</v>
      </c>
      <c r="B1010" s="289" t="s">
        <v>3117</v>
      </c>
      <c r="C1010" s="289" t="s">
        <v>668</v>
      </c>
      <c r="D1010" s="289" t="s">
        <v>4028</v>
      </c>
      <c r="E1010" s="289" t="s">
        <v>4029</v>
      </c>
      <c r="F1010" s="289" t="s">
        <v>4030</v>
      </c>
      <c r="I1010" s="289" t="str">
        <f>("1030020")</f>
        <v>1030020</v>
      </c>
    </row>
    <row r="1011" spans="1:9">
      <c r="A1011" s="290">
        <v>1030235</v>
      </c>
      <c r="B1011" s="289" t="s">
        <v>29</v>
      </c>
      <c r="C1011" s="289" t="s">
        <v>212</v>
      </c>
      <c r="D1011" s="289" t="s">
        <v>4031</v>
      </c>
      <c r="E1011" s="289" t="s">
        <v>4032</v>
      </c>
      <c r="F1011" s="289" t="s">
        <v>4033</v>
      </c>
      <c r="I1011" s="289" t="str">
        <f>("1030235")</f>
        <v>1030235</v>
      </c>
    </row>
    <row r="1012" spans="1:9">
      <c r="A1012" s="290">
        <v>1030266</v>
      </c>
      <c r="B1012" s="289" t="s">
        <v>29</v>
      </c>
      <c r="C1012" s="289" t="s">
        <v>212</v>
      </c>
      <c r="D1012" s="289" t="s">
        <v>4034</v>
      </c>
      <c r="E1012" s="289" t="s">
        <v>4035</v>
      </c>
      <c r="F1012" s="289" t="s">
        <v>4036</v>
      </c>
      <c r="I1012" s="289" t="str">
        <f>("1030266")</f>
        <v>1030266</v>
      </c>
    </row>
    <row r="1013" spans="1:9">
      <c r="A1013" s="290">
        <v>1030273</v>
      </c>
      <c r="B1013" s="289" t="s">
        <v>29</v>
      </c>
      <c r="C1013" s="289" t="s">
        <v>212</v>
      </c>
      <c r="D1013" s="289" t="s">
        <v>4037</v>
      </c>
      <c r="E1013" s="289" t="s">
        <v>4038</v>
      </c>
      <c r="F1013" s="289" t="s">
        <v>4039</v>
      </c>
      <c r="I1013" s="289" t="str">
        <f>("1030273")</f>
        <v>1030273</v>
      </c>
    </row>
    <row r="1014" spans="1:9">
      <c r="A1014" s="290">
        <v>1030280</v>
      </c>
      <c r="B1014" s="289" t="s">
        <v>29</v>
      </c>
      <c r="C1014" s="289" t="s">
        <v>212</v>
      </c>
      <c r="D1014" s="289" t="s">
        <v>4040</v>
      </c>
      <c r="E1014" s="289" t="s">
        <v>4041</v>
      </c>
      <c r="F1014" s="289" t="s">
        <v>4042</v>
      </c>
      <c r="I1014" s="289" t="str">
        <f>("1030280")</f>
        <v>1030280</v>
      </c>
    </row>
    <row r="1015" spans="1:9">
      <c r="A1015" s="290">
        <v>1030297</v>
      </c>
      <c r="B1015" s="289" t="s">
        <v>29</v>
      </c>
      <c r="C1015" s="289" t="s">
        <v>212</v>
      </c>
      <c r="D1015" s="289" t="s">
        <v>4043</v>
      </c>
      <c r="E1015" s="289" t="s">
        <v>4044</v>
      </c>
      <c r="F1015" s="289" t="s">
        <v>4045</v>
      </c>
      <c r="I1015" s="289" t="str">
        <f>("1030297")</f>
        <v>1030297</v>
      </c>
    </row>
    <row r="1016" spans="1:9">
      <c r="A1016" s="290">
        <v>1030303</v>
      </c>
      <c r="B1016" s="289" t="s">
        <v>29</v>
      </c>
      <c r="C1016" s="289" t="s">
        <v>212</v>
      </c>
      <c r="D1016" s="289" t="s">
        <v>4046</v>
      </c>
      <c r="E1016" s="289" t="s">
        <v>4047</v>
      </c>
      <c r="F1016" s="289" t="s">
        <v>4048</v>
      </c>
      <c r="I1016" s="289" t="str">
        <f>("1030303")</f>
        <v>1030303</v>
      </c>
    </row>
    <row r="1017" spans="1:9">
      <c r="A1017" s="290">
        <v>1030310</v>
      </c>
      <c r="B1017" s="289" t="s">
        <v>29</v>
      </c>
      <c r="C1017" s="289" t="s">
        <v>212</v>
      </c>
      <c r="D1017" s="289" t="s">
        <v>4049</v>
      </c>
      <c r="E1017" s="289" t="s">
        <v>4050</v>
      </c>
      <c r="F1017" s="289" t="s">
        <v>4051</v>
      </c>
      <c r="I1017" s="289" t="str">
        <f>("1030310")</f>
        <v>1030310</v>
      </c>
    </row>
    <row r="1018" spans="1:9">
      <c r="A1018" s="290">
        <v>1030884</v>
      </c>
      <c r="B1018" s="289" t="s">
        <v>667</v>
      </c>
      <c r="C1018" s="289" t="s">
        <v>668</v>
      </c>
      <c r="D1018" s="289" t="s">
        <v>4052</v>
      </c>
      <c r="E1018" s="289" t="s">
        <v>4053</v>
      </c>
      <c r="F1018" s="289" t="s">
        <v>4054</v>
      </c>
      <c r="I1018" s="289" t="str">
        <f>("1030884")</f>
        <v>1030884</v>
      </c>
    </row>
    <row r="1019" spans="1:9">
      <c r="A1019" s="290">
        <v>1030891</v>
      </c>
      <c r="B1019" s="289" t="s">
        <v>667</v>
      </c>
      <c r="C1019" s="289" t="s">
        <v>668</v>
      </c>
      <c r="D1019" s="289" t="s">
        <v>4055</v>
      </c>
      <c r="E1019" s="289" t="s">
        <v>4056</v>
      </c>
      <c r="F1019" s="289" t="s">
        <v>4057</v>
      </c>
      <c r="I1019" s="289" t="str">
        <f>("1030891")</f>
        <v>1030891</v>
      </c>
    </row>
    <row r="1020" spans="1:9">
      <c r="A1020" s="290">
        <v>1030907</v>
      </c>
      <c r="B1020" s="289" t="s">
        <v>667</v>
      </c>
      <c r="C1020" s="289" t="s">
        <v>668</v>
      </c>
      <c r="D1020" s="289" t="s">
        <v>4058</v>
      </c>
      <c r="E1020" s="289" t="s">
        <v>4058</v>
      </c>
      <c r="F1020" s="289" t="s">
        <v>4059</v>
      </c>
      <c r="I1020" s="289" t="str">
        <f>("1030907")</f>
        <v>1030907</v>
      </c>
    </row>
    <row r="1021" spans="1:9">
      <c r="A1021" s="290">
        <v>1030914</v>
      </c>
      <c r="B1021" s="289" t="s">
        <v>667</v>
      </c>
      <c r="C1021" s="289" t="s">
        <v>668</v>
      </c>
      <c r="D1021" s="289" t="s">
        <v>4060</v>
      </c>
      <c r="E1021" s="289" t="s">
        <v>4061</v>
      </c>
      <c r="F1021" s="289" t="s">
        <v>4062</v>
      </c>
      <c r="I1021" s="289" t="str">
        <f>("1030914")</f>
        <v>1030914</v>
      </c>
    </row>
    <row r="1022" spans="1:9">
      <c r="A1022" s="290">
        <v>1030952</v>
      </c>
      <c r="B1022" s="289" t="s">
        <v>667</v>
      </c>
      <c r="C1022" s="289" t="s">
        <v>668</v>
      </c>
      <c r="D1022" s="289" t="s">
        <v>4063</v>
      </c>
      <c r="E1022" s="289" t="s">
        <v>4064</v>
      </c>
      <c r="F1022" s="289" t="s">
        <v>4065</v>
      </c>
      <c r="I1022" s="289" t="str">
        <f>("1030952")</f>
        <v>1030952</v>
      </c>
    </row>
    <row r="1023" spans="1:9">
      <c r="A1023" s="290">
        <v>1030969</v>
      </c>
      <c r="B1023" s="289" t="s">
        <v>667</v>
      </c>
      <c r="C1023" s="289" t="s">
        <v>668</v>
      </c>
      <c r="D1023" s="289" t="s">
        <v>4066</v>
      </c>
      <c r="E1023" s="289" t="s">
        <v>4067</v>
      </c>
      <c r="F1023" s="289" t="s">
        <v>4068</v>
      </c>
      <c r="I1023" s="289" t="str">
        <f>("1030969")</f>
        <v>1030969</v>
      </c>
    </row>
    <row r="1024" spans="1:9">
      <c r="A1024" s="290">
        <v>1030976</v>
      </c>
      <c r="B1024" s="289" t="s">
        <v>667</v>
      </c>
      <c r="C1024" s="289" t="s">
        <v>668</v>
      </c>
      <c r="D1024" s="289" t="s">
        <v>4069</v>
      </c>
      <c r="E1024" s="289" t="s">
        <v>4070</v>
      </c>
      <c r="F1024" s="289" t="s">
        <v>4071</v>
      </c>
      <c r="I1024" s="289" t="str">
        <f>("1030976")</f>
        <v>1030976</v>
      </c>
    </row>
    <row r="1025" spans="1:9">
      <c r="A1025" s="290">
        <v>1031270</v>
      </c>
      <c r="B1025" s="289" t="s">
        <v>1537</v>
      </c>
      <c r="C1025" s="289" t="s">
        <v>1574</v>
      </c>
      <c r="D1025" s="289" t="s">
        <v>4072</v>
      </c>
      <c r="E1025" s="289" t="s">
        <v>4073</v>
      </c>
      <c r="F1025" s="289" t="s">
        <v>4074</v>
      </c>
      <c r="I1025" s="289" t="str">
        <f>("1031270")</f>
        <v>1031270</v>
      </c>
    </row>
    <row r="1026" spans="1:9">
      <c r="A1026" s="290">
        <v>1031607</v>
      </c>
      <c r="B1026" s="289" t="s">
        <v>667</v>
      </c>
      <c r="C1026" s="289" t="s">
        <v>668</v>
      </c>
      <c r="D1026" s="289" t="s">
        <v>4995</v>
      </c>
      <c r="E1026" s="289" t="s">
        <v>4995</v>
      </c>
      <c r="F1026" s="289" t="s">
        <v>4996</v>
      </c>
      <c r="I1026" s="289" t="str">
        <f>("1031607")</f>
        <v>1031607</v>
      </c>
    </row>
    <row r="1027" spans="1:9">
      <c r="A1027" s="290">
        <v>1031614</v>
      </c>
      <c r="B1027" s="289" t="s">
        <v>667</v>
      </c>
      <c r="C1027" s="289" t="s">
        <v>668</v>
      </c>
      <c r="D1027" s="289" t="s">
        <v>3526</v>
      </c>
      <c r="E1027" s="289" t="s">
        <v>4075</v>
      </c>
      <c r="F1027" s="289" t="s">
        <v>4076</v>
      </c>
      <c r="I1027" s="289" t="str">
        <f>("1031614")</f>
        <v>1031614</v>
      </c>
    </row>
    <row r="1028" spans="1:9">
      <c r="A1028" s="290">
        <v>1031645</v>
      </c>
      <c r="B1028" s="289" t="s">
        <v>667</v>
      </c>
      <c r="C1028" s="289" t="s">
        <v>668</v>
      </c>
      <c r="D1028" s="289" t="s">
        <v>2791</v>
      </c>
      <c r="E1028" s="289" t="s">
        <v>2792</v>
      </c>
      <c r="F1028" s="289" t="s">
        <v>4077</v>
      </c>
      <c r="I1028" s="289" t="str">
        <f>("1031645")</f>
        <v>1031645</v>
      </c>
    </row>
    <row r="1029" spans="1:9">
      <c r="A1029" s="290">
        <v>1032048</v>
      </c>
      <c r="B1029" s="289" t="s">
        <v>1537</v>
      </c>
      <c r="C1029" s="289" t="s">
        <v>1574</v>
      </c>
      <c r="D1029" s="289" t="s">
        <v>4078</v>
      </c>
      <c r="E1029" s="289" t="s">
        <v>4079</v>
      </c>
      <c r="F1029" s="289" t="s">
        <v>4080</v>
      </c>
      <c r="I1029" s="289" t="str">
        <f>("1032048")</f>
        <v>1032048</v>
      </c>
    </row>
    <row r="1030" spans="1:9">
      <c r="A1030" s="290">
        <v>1032062</v>
      </c>
      <c r="B1030" s="289" t="s">
        <v>1537</v>
      </c>
      <c r="C1030" s="289" t="s">
        <v>1539</v>
      </c>
      <c r="D1030" s="289" t="s">
        <v>4081</v>
      </c>
      <c r="E1030" s="289" t="s">
        <v>4082</v>
      </c>
      <c r="F1030" s="289" t="s">
        <v>4083</v>
      </c>
      <c r="I1030" s="289" t="str">
        <f>("1032062")</f>
        <v>1032062</v>
      </c>
    </row>
    <row r="1031" spans="1:9">
      <c r="A1031" s="290">
        <v>1033151</v>
      </c>
      <c r="B1031" s="289" t="s">
        <v>630</v>
      </c>
      <c r="C1031" s="289" t="s">
        <v>30</v>
      </c>
      <c r="D1031" s="289" t="s">
        <v>4084</v>
      </c>
      <c r="E1031" s="289" t="s">
        <v>4085</v>
      </c>
      <c r="F1031" s="289" t="s">
        <v>4086</v>
      </c>
      <c r="I1031" s="289" t="str">
        <f>("1033151")</f>
        <v>1033151</v>
      </c>
    </row>
    <row r="1032" spans="1:9">
      <c r="A1032" s="290">
        <v>1033175</v>
      </c>
      <c r="B1032" s="289" t="s">
        <v>630</v>
      </c>
      <c r="C1032" s="289" t="s">
        <v>30</v>
      </c>
      <c r="D1032" s="289" t="s">
        <v>4087</v>
      </c>
      <c r="E1032" s="289" t="s">
        <v>4088</v>
      </c>
      <c r="F1032" s="289" t="s">
        <v>4089</v>
      </c>
      <c r="I1032" s="289" t="str">
        <f>("1033175")</f>
        <v>1033175</v>
      </c>
    </row>
    <row r="1033" spans="1:9">
      <c r="A1033" s="290">
        <v>1036237</v>
      </c>
      <c r="B1033" s="289" t="s">
        <v>667</v>
      </c>
      <c r="C1033" s="289" t="s">
        <v>668</v>
      </c>
      <c r="D1033" s="289" t="s">
        <v>4997</v>
      </c>
      <c r="E1033" s="289" t="s">
        <v>4998</v>
      </c>
      <c r="F1033" s="289" t="s">
        <v>4999</v>
      </c>
      <c r="I1033" s="289" t="str">
        <f>("1036237")</f>
        <v>1036237</v>
      </c>
    </row>
    <row r="1034" spans="1:9">
      <c r="A1034" s="290">
        <v>1038026</v>
      </c>
      <c r="B1034" s="289" t="s">
        <v>667</v>
      </c>
      <c r="C1034" s="289" t="s">
        <v>668</v>
      </c>
      <c r="D1034" s="289" t="s">
        <v>4109</v>
      </c>
      <c r="E1034" s="289" t="s">
        <v>4110</v>
      </c>
      <c r="F1034" s="289" t="s">
        <v>4111</v>
      </c>
      <c r="I1034" s="289" t="str">
        <f>("1038026")</f>
        <v>1038026</v>
      </c>
    </row>
    <row r="1035" spans="1:9">
      <c r="A1035" s="290">
        <v>1038620</v>
      </c>
      <c r="B1035" s="289" t="s">
        <v>667</v>
      </c>
      <c r="C1035" s="289" t="s">
        <v>668</v>
      </c>
      <c r="D1035" s="289" t="s">
        <v>4116</v>
      </c>
      <c r="E1035" s="289" t="s">
        <v>4116</v>
      </c>
      <c r="F1035" s="289" t="s">
        <v>4117</v>
      </c>
      <c r="I1035" s="289" t="str">
        <f>("1038620")</f>
        <v>1038620</v>
      </c>
    </row>
    <row r="1036" spans="1:9">
      <c r="A1036" s="290">
        <v>1040876</v>
      </c>
      <c r="B1036" s="289" t="s">
        <v>34</v>
      </c>
      <c r="C1036" s="289" t="s">
        <v>35</v>
      </c>
      <c r="D1036" s="289" t="s">
        <v>5299</v>
      </c>
      <c r="E1036" s="289" t="s">
        <v>5300</v>
      </c>
      <c r="F1036" s="289" t="s">
        <v>5301</v>
      </c>
      <c r="I1036" s="289" t="str">
        <f>("1040876")</f>
        <v>1040876</v>
      </c>
    </row>
    <row r="1037" spans="1:9">
      <c r="A1037" s="290">
        <v>1040883</v>
      </c>
      <c r="B1037" s="289" t="s">
        <v>34</v>
      </c>
      <c r="C1037" s="289" t="s">
        <v>35</v>
      </c>
      <c r="D1037" s="289" t="s">
        <v>4126</v>
      </c>
      <c r="E1037" s="289" t="s">
        <v>4127</v>
      </c>
      <c r="F1037" s="289" t="s">
        <v>4128</v>
      </c>
      <c r="I1037" s="289" t="str">
        <f>("1040883")</f>
        <v>1040883</v>
      </c>
    </row>
    <row r="1038" spans="1:9">
      <c r="A1038" s="290">
        <v>1040906</v>
      </c>
      <c r="B1038" s="289" t="s">
        <v>34</v>
      </c>
      <c r="C1038" s="289" t="s">
        <v>35</v>
      </c>
      <c r="D1038" s="289" t="s">
        <v>4129</v>
      </c>
      <c r="E1038" s="289" t="s">
        <v>4130</v>
      </c>
      <c r="F1038" s="289" t="s">
        <v>4131</v>
      </c>
      <c r="I1038" s="289" t="str">
        <f>("1040906")</f>
        <v>1040906</v>
      </c>
    </row>
    <row r="1039" spans="1:9">
      <c r="A1039" s="290">
        <v>1040913</v>
      </c>
      <c r="B1039" s="289" t="s">
        <v>34</v>
      </c>
      <c r="C1039" s="289" t="s">
        <v>35</v>
      </c>
      <c r="D1039" s="289" t="s">
        <v>4132</v>
      </c>
      <c r="E1039" s="289" t="s">
        <v>4133</v>
      </c>
      <c r="F1039" s="289" t="s">
        <v>4134</v>
      </c>
      <c r="I1039" s="289" t="str">
        <f>("1040913")</f>
        <v>1040913</v>
      </c>
    </row>
    <row r="1040" spans="1:9">
      <c r="A1040" s="290">
        <v>1040920</v>
      </c>
      <c r="B1040" s="289" t="s">
        <v>34</v>
      </c>
      <c r="C1040" s="289" t="s">
        <v>35</v>
      </c>
      <c r="D1040" s="289" t="s">
        <v>4135</v>
      </c>
      <c r="E1040" s="289" t="s">
        <v>4136</v>
      </c>
      <c r="F1040" s="289" t="s">
        <v>4137</v>
      </c>
      <c r="I1040" s="289" t="str">
        <f>("1040920")</f>
        <v>1040920</v>
      </c>
    </row>
    <row r="1041" spans="1:9">
      <c r="A1041" s="290">
        <v>1040937</v>
      </c>
      <c r="B1041" s="289" t="s">
        <v>34</v>
      </c>
      <c r="C1041" s="289" t="s">
        <v>35</v>
      </c>
      <c r="D1041" s="289" t="s">
        <v>4138</v>
      </c>
      <c r="E1041" s="289" t="s">
        <v>4139</v>
      </c>
      <c r="F1041" s="289" t="s">
        <v>4140</v>
      </c>
      <c r="I1041" s="289" t="str">
        <f>("1040937")</f>
        <v>1040937</v>
      </c>
    </row>
    <row r="1042" spans="1:9">
      <c r="A1042" s="290">
        <v>1040944</v>
      </c>
      <c r="B1042" s="289" t="s">
        <v>34</v>
      </c>
      <c r="C1042" s="289" t="s">
        <v>35</v>
      </c>
      <c r="D1042" s="289" t="s">
        <v>4141</v>
      </c>
      <c r="E1042" s="289" t="s">
        <v>4142</v>
      </c>
      <c r="F1042" s="289" t="s">
        <v>4143</v>
      </c>
      <c r="I1042" s="289" t="str">
        <f>("1040944")</f>
        <v>1040944</v>
      </c>
    </row>
    <row r="1043" spans="1:9">
      <c r="A1043" s="290">
        <v>1040968</v>
      </c>
      <c r="B1043" s="289" t="s">
        <v>34</v>
      </c>
      <c r="C1043" s="289" t="s">
        <v>35</v>
      </c>
      <c r="D1043" s="289" t="s">
        <v>4144</v>
      </c>
      <c r="E1043" s="289" t="s">
        <v>4145</v>
      </c>
      <c r="F1043" s="289" t="s">
        <v>4146</v>
      </c>
      <c r="I1043" s="289" t="str">
        <f>("1040968")</f>
        <v>1040968</v>
      </c>
    </row>
    <row r="1044" spans="1:9">
      <c r="A1044" s="290">
        <v>1041309</v>
      </c>
      <c r="B1044" s="289" t="s">
        <v>34</v>
      </c>
      <c r="C1044" s="289" t="s">
        <v>35</v>
      </c>
      <c r="D1044" s="289" t="s">
        <v>4147</v>
      </c>
      <c r="E1044" s="289" t="s">
        <v>4148</v>
      </c>
      <c r="F1044" s="289" t="s">
        <v>4149</v>
      </c>
      <c r="I1044" s="289" t="str">
        <f>("1041309")</f>
        <v>1041309</v>
      </c>
    </row>
    <row r="1045" spans="1:9">
      <c r="A1045" s="290">
        <v>1041606</v>
      </c>
      <c r="B1045" s="289" t="s">
        <v>3117</v>
      </c>
      <c r="C1045" s="289" t="s">
        <v>668</v>
      </c>
      <c r="D1045" s="289" t="s">
        <v>4150</v>
      </c>
      <c r="E1045" s="289" t="s">
        <v>4151</v>
      </c>
      <c r="F1045" s="289" t="s">
        <v>4152</v>
      </c>
      <c r="I1045" s="289" t="str">
        <f>("1041606")</f>
        <v>1041606</v>
      </c>
    </row>
    <row r="1046" spans="1:9">
      <c r="A1046" s="290">
        <v>1041613</v>
      </c>
      <c r="B1046" s="289" t="s">
        <v>667</v>
      </c>
      <c r="C1046" s="289" t="s">
        <v>668</v>
      </c>
      <c r="D1046" s="289" t="s">
        <v>4153</v>
      </c>
      <c r="E1046" s="289" t="s">
        <v>4154</v>
      </c>
      <c r="F1046" s="289" t="s">
        <v>4155</v>
      </c>
      <c r="I1046" s="289" t="str">
        <f>("1041613")</f>
        <v>1041613</v>
      </c>
    </row>
    <row r="1047" spans="1:9">
      <c r="A1047" s="290">
        <v>1041620</v>
      </c>
      <c r="B1047" s="289" t="s">
        <v>667</v>
      </c>
      <c r="C1047" s="289" t="s">
        <v>668</v>
      </c>
      <c r="D1047" s="289" t="s">
        <v>4156</v>
      </c>
      <c r="E1047" s="289" t="s">
        <v>4157</v>
      </c>
      <c r="F1047" s="289" t="s">
        <v>4158</v>
      </c>
      <c r="I1047" s="289" t="str">
        <f>("1041620")</f>
        <v>1041620</v>
      </c>
    </row>
    <row r="1048" spans="1:9">
      <c r="A1048" s="290">
        <v>1042085</v>
      </c>
      <c r="B1048" s="289" t="s">
        <v>630</v>
      </c>
      <c r="C1048" s="289" t="s">
        <v>30</v>
      </c>
      <c r="D1048" s="289" t="s">
        <v>4159</v>
      </c>
      <c r="E1048" s="289" t="s">
        <v>4160</v>
      </c>
      <c r="F1048" s="289" t="s">
        <v>4161</v>
      </c>
      <c r="I1048" s="289" t="str">
        <f>("1042085")</f>
        <v>1042085</v>
      </c>
    </row>
    <row r="1049" spans="1:9">
      <c r="A1049" s="290">
        <v>1042092</v>
      </c>
      <c r="B1049" s="289" t="s">
        <v>630</v>
      </c>
      <c r="C1049" s="289" t="s">
        <v>30</v>
      </c>
      <c r="D1049" s="289" t="s">
        <v>4162</v>
      </c>
      <c r="E1049" s="289" t="s">
        <v>4163</v>
      </c>
      <c r="F1049" s="289" t="s">
        <v>4164</v>
      </c>
      <c r="I1049" s="289" t="str">
        <f>("1042092")</f>
        <v>1042092</v>
      </c>
    </row>
    <row r="1050" spans="1:9">
      <c r="A1050" s="290">
        <v>1042108</v>
      </c>
      <c r="B1050" s="289" t="s">
        <v>630</v>
      </c>
      <c r="C1050" s="289" t="s">
        <v>30</v>
      </c>
      <c r="D1050" s="289" t="s">
        <v>4165</v>
      </c>
      <c r="E1050" s="289" t="s">
        <v>4166</v>
      </c>
      <c r="F1050" s="289" t="s">
        <v>4167</v>
      </c>
      <c r="I1050" s="289" t="str">
        <f>("1042108")</f>
        <v>1042108</v>
      </c>
    </row>
    <row r="1051" spans="1:9">
      <c r="A1051" s="290">
        <v>1042580</v>
      </c>
      <c r="B1051" s="289" t="s">
        <v>667</v>
      </c>
      <c r="C1051" s="289" t="s">
        <v>668</v>
      </c>
      <c r="D1051" s="289" t="s">
        <v>4168</v>
      </c>
      <c r="E1051" s="289" t="s">
        <v>4169</v>
      </c>
      <c r="F1051" s="289" t="s">
        <v>4170</v>
      </c>
      <c r="I1051" s="289" t="str">
        <f>("1042580")</f>
        <v>1042580</v>
      </c>
    </row>
    <row r="1052" spans="1:9">
      <c r="A1052" s="290">
        <v>1042818</v>
      </c>
      <c r="B1052" s="289" t="s">
        <v>667</v>
      </c>
      <c r="C1052" s="289" t="s">
        <v>668</v>
      </c>
      <c r="D1052" s="289" t="s">
        <v>4171</v>
      </c>
      <c r="E1052" s="289" t="s">
        <v>4172</v>
      </c>
      <c r="F1052" s="289" t="s">
        <v>4173</v>
      </c>
      <c r="I1052" s="289" t="str">
        <f>("1042818")</f>
        <v>1042818</v>
      </c>
    </row>
    <row r="1053" spans="1:9">
      <c r="A1053" s="290">
        <v>1042825</v>
      </c>
      <c r="B1053" s="289" t="s">
        <v>667</v>
      </c>
      <c r="C1053" s="289" t="s">
        <v>668</v>
      </c>
      <c r="D1053" s="289" t="s">
        <v>4174</v>
      </c>
      <c r="E1053" s="289" t="s">
        <v>4175</v>
      </c>
      <c r="F1053" s="289" t="s">
        <v>4176</v>
      </c>
      <c r="I1053" s="289" t="str">
        <f>("1042825")</f>
        <v>1042825</v>
      </c>
    </row>
    <row r="1054" spans="1:9">
      <c r="A1054" s="290">
        <v>1042832</v>
      </c>
      <c r="B1054" s="289" t="s">
        <v>667</v>
      </c>
      <c r="C1054" s="289" t="s">
        <v>668</v>
      </c>
      <c r="D1054" s="289" t="s">
        <v>3395</v>
      </c>
      <c r="E1054" s="289" t="s">
        <v>3396</v>
      </c>
      <c r="F1054" s="289" t="s">
        <v>4177</v>
      </c>
      <c r="I1054" s="289" t="str">
        <f>("1042832")</f>
        <v>1042832</v>
      </c>
    </row>
    <row r="1055" spans="1:9">
      <c r="A1055" s="290">
        <v>1042856</v>
      </c>
      <c r="B1055" s="289" t="s">
        <v>667</v>
      </c>
      <c r="C1055" s="289" t="s">
        <v>668</v>
      </c>
      <c r="D1055" s="289" t="s">
        <v>4178</v>
      </c>
      <c r="E1055" s="289" t="s">
        <v>4179</v>
      </c>
      <c r="F1055" s="289" t="s">
        <v>4180</v>
      </c>
      <c r="I1055" s="289" t="str">
        <f>("1042856")</f>
        <v>1042856</v>
      </c>
    </row>
    <row r="1056" spans="1:9">
      <c r="A1056" s="290">
        <v>1043938</v>
      </c>
      <c r="B1056" s="289" t="s">
        <v>667</v>
      </c>
      <c r="C1056" s="289" t="s">
        <v>668</v>
      </c>
      <c r="D1056" s="289" t="s">
        <v>4181</v>
      </c>
      <c r="E1056" s="289" t="s">
        <v>4182</v>
      </c>
      <c r="F1056" s="289" t="s">
        <v>4183</v>
      </c>
      <c r="I1056" s="289" t="str">
        <f>("1043938")</f>
        <v>1043938</v>
      </c>
    </row>
    <row r="1057" spans="1:9">
      <c r="A1057" s="290">
        <v>1046816</v>
      </c>
      <c r="B1057" s="289" t="s">
        <v>667</v>
      </c>
      <c r="C1057" s="289" t="s">
        <v>668</v>
      </c>
      <c r="D1057" s="289" t="s">
        <v>4184</v>
      </c>
      <c r="E1057" s="289" t="s">
        <v>4185</v>
      </c>
      <c r="F1057" s="289" t="s">
        <v>4186</v>
      </c>
      <c r="I1057" s="289" t="str">
        <f>("1046816")</f>
        <v>1046816</v>
      </c>
    </row>
    <row r="1058" spans="1:9">
      <c r="A1058" s="290">
        <v>1048360</v>
      </c>
      <c r="B1058" s="289" t="s">
        <v>1537</v>
      </c>
      <c r="C1058" s="289" t="s">
        <v>1543</v>
      </c>
      <c r="D1058" s="289" t="s">
        <v>4195</v>
      </c>
      <c r="E1058" s="289" t="s">
        <v>4196</v>
      </c>
      <c r="F1058" s="289" t="s">
        <v>4197</v>
      </c>
      <c r="I1058" s="289" t="str">
        <f>("1048360")</f>
        <v>1048360</v>
      </c>
    </row>
    <row r="1059" spans="1:9">
      <c r="A1059" s="290">
        <v>1049015</v>
      </c>
      <c r="B1059" s="289" t="s">
        <v>667</v>
      </c>
      <c r="C1059" s="289" t="s">
        <v>668</v>
      </c>
      <c r="D1059" s="289" t="s">
        <v>4198</v>
      </c>
      <c r="E1059" s="289" t="s">
        <v>4199</v>
      </c>
      <c r="F1059" s="289" t="s">
        <v>4200</v>
      </c>
      <c r="I1059" s="289" t="str">
        <f>("1049015")</f>
        <v>1049015</v>
      </c>
    </row>
    <row r="1060" spans="1:9">
      <c r="A1060" s="290">
        <v>1049541</v>
      </c>
      <c r="B1060" s="289" t="s">
        <v>3117</v>
      </c>
      <c r="C1060" s="289" t="s">
        <v>668</v>
      </c>
      <c r="D1060" s="289" t="s">
        <v>4201</v>
      </c>
      <c r="E1060" s="289" t="s">
        <v>4202</v>
      </c>
      <c r="F1060" s="289" t="s">
        <v>4203</v>
      </c>
      <c r="I1060" s="289" t="str">
        <f>("1049541")</f>
        <v>1049541</v>
      </c>
    </row>
    <row r="1061" spans="1:9">
      <c r="A1061" s="290">
        <v>1049558</v>
      </c>
      <c r="B1061" s="289" t="s">
        <v>3117</v>
      </c>
      <c r="C1061" s="289" t="s">
        <v>668</v>
      </c>
      <c r="D1061" s="289" t="s">
        <v>638</v>
      </c>
      <c r="E1061" s="289" t="s">
        <v>639</v>
      </c>
      <c r="F1061" s="289" t="s">
        <v>640</v>
      </c>
      <c r="I1061" s="289" t="str">
        <f>("1049558")</f>
        <v>1049558</v>
      </c>
    </row>
    <row r="1062" spans="1:9">
      <c r="A1062" s="290">
        <v>1049824</v>
      </c>
      <c r="B1062" s="289" t="s">
        <v>34</v>
      </c>
      <c r="C1062" s="289" t="s">
        <v>35</v>
      </c>
      <c r="D1062" s="289" t="s">
        <v>4204</v>
      </c>
      <c r="E1062" s="289" t="s">
        <v>4205</v>
      </c>
      <c r="F1062" s="289" t="s">
        <v>4206</v>
      </c>
      <c r="I1062" s="289" t="str">
        <f>("1049824")</f>
        <v>1049824</v>
      </c>
    </row>
    <row r="1063" spans="1:9">
      <c r="A1063" s="290">
        <v>1049862</v>
      </c>
      <c r="B1063" s="289" t="s">
        <v>34</v>
      </c>
      <c r="C1063" s="289" t="s">
        <v>35</v>
      </c>
      <c r="D1063" s="289" t="s">
        <v>4207</v>
      </c>
      <c r="E1063" s="289" t="s">
        <v>4208</v>
      </c>
      <c r="F1063" s="289" t="s">
        <v>4209</v>
      </c>
      <c r="I1063" s="289" t="str">
        <f>("1049862")</f>
        <v>1049862</v>
      </c>
    </row>
    <row r="1064" spans="1:9">
      <c r="A1064" s="290">
        <v>1049879</v>
      </c>
      <c r="B1064" s="289" t="s">
        <v>34</v>
      </c>
      <c r="C1064" s="289" t="s">
        <v>35</v>
      </c>
      <c r="D1064" s="289" t="s">
        <v>4159</v>
      </c>
      <c r="E1064" s="289" t="s">
        <v>4210</v>
      </c>
      <c r="F1064" s="289" t="s">
        <v>4161</v>
      </c>
      <c r="I1064" s="289" t="str">
        <f>("1049879")</f>
        <v>1049879</v>
      </c>
    </row>
    <row r="1065" spans="1:9">
      <c r="A1065" s="290">
        <v>1049886</v>
      </c>
      <c r="B1065" s="289" t="s">
        <v>34</v>
      </c>
      <c r="C1065" s="289" t="s">
        <v>35</v>
      </c>
      <c r="D1065" s="289" t="s">
        <v>4211</v>
      </c>
      <c r="E1065" s="289" t="s">
        <v>4212</v>
      </c>
      <c r="F1065" s="289" t="s">
        <v>4213</v>
      </c>
      <c r="I1065" s="289" t="str">
        <f>("1049886")</f>
        <v>1049886</v>
      </c>
    </row>
    <row r="1066" spans="1:9">
      <c r="A1066" s="290">
        <v>1049893</v>
      </c>
      <c r="B1066" s="289" t="s">
        <v>34</v>
      </c>
      <c r="C1066" s="289" t="s">
        <v>35</v>
      </c>
      <c r="D1066" s="289" t="s">
        <v>4214</v>
      </c>
      <c r="E1066" s="289" t="s">
        <v>4215</v>
      </c>
      <c r="F1066" s="289" t="s">
        <v>4216</v>
      </c>
      <c r="I1066" s="289" t="str">
        <f>("1049893")</f>
        <v>1049893</v>
      </c>
    </row>
    <row r="1067" spans="1:9">
      <c r="A1067" s="290">
        <v>1049909</v>
      </c>
      <c r="B1067" s="289" t="s">
        <v>34</v>
      </c>
      <c r="C1067" s="289" t="s">
        <v>35</v>
      </c>
      <c r="D1067" s="289" t="s">
        <v>4217</v>
      </c>
      <c r="E1067" s="289" t="s">
        <v>4218</v>
      </c>
      <c r="F1067" s="289" t="s">
        <v>4219</v>
      </c>
      <c r="I1067" s="289" t="str">
        <f>("1049909")</f>
        <v>1049909</v>
      </c>
    </row>
    <row r="1068" spans="1:9">
      <c r="A1068" s="290">
        <v>1049916</v>
      </c>
      <c r="B1068" s="289" t="s">
        <v>34</v>
      </c>
      <c r="C1068" s="289" t="s">
        <v>35</v>
      </c>
      <c r="D1068" s="289" t="s">
        <v>4220</v>
      </c>
      <c r="E1068" s="289" t="s">
        <v>4221</v>
      </c>
      <c r="F1068" s="289" t="s">
        <v>4222</v>
      </c>
      <c r="I1068" s="289" t="str">
        <f>("1049916")</f>
        <v>1049916</v>
      </c>
    </row>
    <row r="1069" spans="1:9">
      <c r="A1069" s="290">
        <v>1049947</v>
      </c>
      <c r="B1069" s="289" t="s">
        <v>34</v>
      </c>
      <c r="C1069" s="289" t="s">
        <v>35</v>
      </c>
      <c r="D1069" s="289" t="s">
        <v>4223</v>
      </c>
      <c r="E1069" s="289" t="s">
        <v>4224</v>
      </c>
      <c r="F1069" s="289" t="s">
        <v>4225</v>
      </c>
      <c r="I1069" s="289" t="str">
        <f>("1049947")</f>
        <v>1049947</v>
      </c>
    </row>
    <row r="1070" spans="1:9">
      <c r="A1070" s="290">
        <v>1049954</v>
      </c>
      <c r="B1070" s="289" t="s">
        <v>34</v>
      </c>
      <c r="C1070" s="289" t="s">
        <v>35</v>
      </c>
      <c r="D1070" s="289" t="s">
        <v>4226</v>
      </c>
      <c r="E1070" s="289" t="s">
        <v>4227</v>
      </c>
      <c r="F1070" s="289" t="s">
        <v>4228</v>
      </c>
      <c r="I1070" s="289" t="str">
        <f>("1049954")</f>
        <v>1049954</v>
      </c>
    </row>
    <row r="1071" spans="1:9">
      <c r="A1071" s="290">
        <v>1049978</v>
      </c>
      <c r="B1071" s="289" t="s">
        <v>34</v>
      </c>
      <c r="C1071" s="289" t="s">
        <v>35</v>
      </c>
      <c r="D1071" s="289" t="s">
        <v>4229</v>
      </c>
      <c r="E1071" s="289" t="s">
        <v>4230</v>
      </c>
      <c r="F1071" s="289" t="s">
        <v>4231</v>
      </c>
      <c r="I1071" s="289" t="str">
        <f>("1049978")</f>
        <v>1049978</v>
      </c>
    </row>
    <row r="1072" spans="1:9">
      <c r="A1072" s="290">
        <v>1049985</v>
      </c>
      <c r="B1072" s="289" t="s">
        <v>34</v>
      </c>
      <c r="C1072" s="289" t="s">
        <v>35</v>
      </c>
      <c r="D1072" s="289" t="s">
        <v>4232</v>
      </c>
      <c r="E1072" s="289" t="s">
        <v>4233</v>
      </c>
      <c r="F1072" s="289" t="s">
        <v>4234</v>
      </c>
      <c r="I1072" s="289" t="str">
        <f>("1049985")</f>
        <v>1049985</v>
      </c>
    </row>
    <row r="1073" spans="1:9">
      <c r="A1073" s="290">
        <v>1050004</v>
      </c>
      <c r="B1073" s="289" t="s">
        <v>34</v>
      </c>
      <c r="C1073" s="289" t="s">
        <v>35</v>
      </c>
      <c r="D1073" s="289" t="s">
        <v>4235</v>
      </c>
      <c r="E1073" s="289" t="s">
        <v>4236</v>
      </c>
      <c r="F1073" s="289" t="s">
        <v>4237</v>
      </c>
      <c r="I1073" s="289" t="str">
        <f>("1050004")</f>
        <v>1050004</v>
      </c>
    </row>
    <row r="1074" spans="1:9">
      <c r="A1074" s="290">
        <v>1051421</v>
      </c>
      <c r="B1074" s="289" t="s">
        <v>667</v>
      </c>
      <c r="C1074" s="289" t="s">
        <v>668</v>
      </c>
      <c r="D1074" s="289" t="s">
        <v>4238</v>
      </c>
      <c r="E1074" s="289" t="s">
        <v>4239</v>
      </c>
      <c r="F1074" s="289" t="s">
        <v>4240</v>
      </c>
      <c r="I1074" s="289" t="str">
        <f>("1051421")</f>
        <v>1051421</v>
      </c>
    </row>
    <row r="1075" spans="1:9">
      <c r="A1075" s="290">
        <v>1051438</v>
      </c>
      <c r="B1075" s="289" t="s">
        <v>667</v>
      </c>
      <c r="C1075" s="289" t="s">
        <v>668</v>
      </c>
      <c r="D1075" s="289" t="s">
        <v>4241</v>
      </c>
      <c r="E1075" s="289" t="s">
        <v>4242</v>
      </c>
      <c r="F1075" s="289" t="s">
        <v>4243</v>
      </c>
      <c r="I1075" s="289" t="str">
        <f>("1051438")</f>
        <v>1051438</v>
      </c>
    </row>
    <row r="1076" spans="1:9">
      <c r="A1076" s="290">
        <v>1051445</v>
      </c>
      <c r="B1076" s="289" t="s">
        <v>667</v>
      </c>
      <c r="C1076" s="289" t="s">
        <v>668</v>
      </c>
      <c r="D1076" s="289" t="s">
        <v>4244</v>
      </c>
      <c r="E1076" s="289" t="s">
        <v>4245</v>
      </c>
      <c r="F1076" s="289" t="s">
        <v>4246</v>
      </c>
      <c r="I1076" s="289" t="str">
        <f>("1051445")</f>
        <v>1051445</v>
      </c>
    </row>
    <row r="1077" spans="1:9">
      <c r="A1077" s="290">
        <v>1052152</v>
      </c>
      <c r="B1077" s="289" t="s">
        <v>667</v>
      </c>
      <c r="C1077" s="289" t="s">
        <v>668</v>
      </c>
      <c r="D1077" s="289" t="s">
        <v>4748</v>
      </c>
      <c r="E1077" s="289" t="s">
        <v>4749</v>
      </c>
      <c r="F1077" s="289" t="s">
        <v>4750</v>
      </c>
      <c r="I1077" s="289" t="str">
        <f>("1052152")</f>
        <v>1052152</v>
      </c>
    </row>
    <row r="1078" spans="1:9">
      <c r="A1078" s="290">
        <v>1052244</v>
      </c>
      <c r="B1078" s="289" t="s">
        <v>667</v>
      </c>
      <c r="C1078" s="289" t="s">
        <v>668</v>
      </c>
      <c r="D1078" s="289" t="s">
        <v>4247</v>
      </c>
      <c r="E1078" s="289" t="s">
        <v>4247</v>
      </c>
      <c r="F1078" s="289" t="s">
        <v>4248</v>
      </c>
      <c r="I1078" s="289" t="str">
        <f>("1052244")</f>
        <v>1052244</v>
      </c>
    </row>
    <row r="1079" spans="1:9">
      <c r="A1079" s="290">
        <v>1055993</v>
      </c>
      <c r="B1079" s="289" t="s">
        <v>1537</v>
      </c>
      <c r="C1079" s="289" t="s">
        <v>1543</v>
      </c>
      <c r="D1079" s="289" t="s">
        <v>627</v>
      </c>
      <c r="E1079" s="289" t="s">
        <v>628</v>
      </c>
      <c r="F1079" s="289" t="s">
        <v>629</v>
      </c>
      <c r="I1079" s="289" t="str">
        <f>("1055993")</f>
        <v>1055993</v>
      </c>
    </row>
    <row r="1080" spans="1:9">
      <c r="A1080" s="290">
        <v>1056488</v>
      </c>
      <c r="B1080" s="289" t="s">
        <v>667</v>
      </c>
      <c r="C1080" s="289" t="s">
        <v>668</v>
      </c>
      <c r="D1080" s="289" t="s">
        <v>4257</v>
      </c>
      <c r="E1080" s="289" t="s">
        <v>4258</v>
      </c>
      <c r="F1080" s="289" t="s">
        <v>4259</v>
      </c>
      <c r="I1080" s="289" t="str">
        <f>("1056488")</f>
        <v>1056488</v>
      </c>
    </row>
    <row r="1081" spans="1:9">
      <c r="A1081" s="290">
        <v>1058352</v>
      </c>
      <c r="B1081" s="289" t="s">
        <v>630</v>
      </c>
      <c r="C1081" s="289" t="s">
        <v>30</v>
      </c>
      <c r="D1081" s="289" t="s">
        <v>3862</v>
      </c>
      <c r="E1081" s="289" t="s">
        <v>3863</v>
      </c>
      <c r="F1081" s="289" t="s">
        <v>4264</v>
      </c>
      <c r="I1081" s="289" t="str">
        <f>("1058352")</f>
        <v>1058352</v>
      </c>
    </row>
    <row r="1082" spans="1:9">
      <c r="A1082" s="290">
        <v>1058369</v>
      </c>
      <c r="B1082" s="289" t="s">
        <v>630</v>
      </c>
      <c r="C1082" s="289" t="s">
        <v>30</v>
      </c>
      <c r="D1082" s="289" t="s">
        <v>4265</v>
      </c>
      <c r="E1082" s="289" t="s">
        <v>4266</v>
      </c>
      <c r="F1082" s="289" t="s">
        <v>4267</v>
      </c>
      <c r="I1082" s="289" t="str">
        <f>("1058369")</f>
        <v>1058369</v>
      </c>
    </row>
    <row r="1083" spans="1:9">
      <c r="A1083" s="290">
        <v>1058406</v>
      </c>
      <c r="B1083" s="289" t="s">
        <v>29</v>
      </c>
      <c r="C1083" s="289" t="s">
        <v>212</v>
      </c>
      <c r="D1083" s="289" t="s">
        <v>4268</v>
      </c>
      <c r="E1083" s="289" t="s">
        <v>4269</v>
      </c>
      <c r="F1083" s="289" t="s">
        <v>4270</v>
      </c>
      <c r="I1083" s="289" t="str">
        <f>("1058406")</f>
        <v>1058406</v>
      </c>
    </row>
    <row r="1084" spans="1:9">
      <c r="A1084" s="290">
        <v>1058567</v>
      </c>
      <c r="B1084" s="289" t="s">
        <v>34</v>
      </c>
      <c r="C1084" s="289" t="s">
        <v>35</v>
      </c>
      <c r="D1084" s="289" t="s">
        <v>4271</v>
      </c>
      <c r="E1084" s="289" t="s">
        <v>4272</v>
      </c>
      <c r="F1084" s="289" t="s">
        <v>4273</v>
      </c>
      <c r="I1084" s="289" t="str">
        <f>("1058567")</f>
        <v>1058567</v>
      </c>
    </row>
    <row r="1085" spans="1:9">
      <c r="A1085" s="290">
        <v>1058765</v>
      </c>
      <c r="B1085" s="289" t="s">
        <v>34</v>
      </c>
      <c r="C1085" s="289" t="s">
        <v>35</v>
      </c>
      <c r="D1085" s="289" t="s">
        <v>4751</v>
      </c>
      <c r="E1085" s="289" t="s">
        <v>4752</v>
      </c>
      <c r="F1085" s="289" t="s">
        <v>4753</v>
      </c>
      <c r="I1085" s="289" t="str">
        <f>("1058765")</f>
        <v>1058765</v>
      </c>
    </row>
    <row r="1086" spans="1:9">
      <c r="A1086" s="290">
        <v>1058857</v>
      </c>
      <c r="B1086" s="289" t="s">
        <v>29</v>
      </c>
      <c r="C1086" s="289" t="s">
        <v>212</v>
      </c>
      <c r="D1086" s="289" t="s">
        <v>4274</v>
      </c>
      <c r="E1086" s="289" t="s">
        <v>4275</v>
      </c>
      <c r="F1086" s="289" t="s">
        <v>4276</v>
      </c>
      <c r="I1086" s="289" t="str">
        <f>("1058857")</f>
        <v>1058857</v>
      </c>
    </row>
    <row r="1087" spans="1:9">
      <c r="A1087" s="290">
        <v>1058864</v>
      </c>
      <c r="B1087" s="289" t="s">
        <v>34</v>
      </c>
      <c r="C1087" s="289" t="s">
        <v>35</v>
      </c>
      <c r="D1087" s="289" t="s">
        <v>4277</v>
      </c>
      <c r="E1087" s="289" t="s">
        <v>4278</v>
      </c>
      <c r="F1087" s="289" t="s">
        <v>4279</v>
      </c>
      <c r="I1087" s="289" t="str">
        <f>("1058864")</f>
        <v>1058864</v>
      </c>
    </row>
    <row r="1088" spans="1:9">
      <c r="A1088" s="290">
        <v>1058932</v>
      </c>
      <c r="B1088" s="289" t="s">
        <v>34</v>
      </c>
      <c r="C1088" s="289" t="s">
        <v>35</v>
      </c>
      <c r="D1088" s="289" t="s">
        <v>4280</v>
      </c>
      <c r="E1088" s="289" t="s">
        <v>4281</v>
      </c>
      <c r="F1088" s="289" t="s">
        <v>4282</v>
      </c>
      <c r="I1088" s="289" t="str">
        <f>("1058932")</f>
        <v>1058932</v>
      </c>
    </row>
    <row r="1089" spans="1:9">
      <c r="A1089" s="290">
        <v>1058963</v>
      </c>
      <c r="B1089" s="289" t="s">
        <v>1537</v>
      </c>
      <c r="C1089" s="289" t="s">
        <v>1538</v>
      </c>
      <c r="D1089" s="289" t="s">
        <v>4754</v>
      </c>
      <c r="E1089" s="289" t="s">
        <v>4283</v>
      </c>
      <c r="F1089" s="289" t="s">
        <v>4284</v>
      </c>
      <c r="I1089" s="289" t="str">
        <f>("1058963")</f>
        <v>1058963</v>
      </c>
    </row>
    <row r="1090" spans="1:9">
      <c r="A1090" s="290">
        <v>1059274</v>
      </c>
      <c r="B1090" s="289" t="s">
        <v>34</v>
      </c>
      <c r="C1090" s="289" t="s">
        <v>35</v>
      </c>
      <c r="D1090" s="289" t="s">
        <v>4285</v>
      </c>
      <c r="E1090" s="289" t="s">
        <v>4286</v>
      </c>
      <c r="F1090" s="289" t="s">
        <v>4287</v>
      </c>
      <c r="I1090" s="289" t="str">
        <f>("1059274")</f>
        <v>1059274</v>
      </c>
    </row>
    <row r="1091" spans="1:9">
      <c r="A1091" s="290">
        <v>1059694</v>
      </c>
      <c r="B1091" s="289" t="s">
        <v>667</v>
      </c>
      <c r="C1091" s="289" t="s">
        <v>668</v>
      </c>
      <c r="D1091" s="289" t="s">
        <v>4288</v>
      </c>
      <c r="E1091" s="289" t="s">
        <v>4289</v>
      </c>
      <c r="F1091" s="289" t="s">
        <v>4290</v>
      </c>
      <c r="I1091" s="289" t="str">
        <f>("1059694")</f>
        <v>1059694</v>
      </c>
    </row>
    <row r="1092" spans="1:9">
      <c r="A1092" s="290">
        <v>1059748</v>
      </c>
      <c r="B1092" s="289" t="s">
        <v>667</v>
      </c>
      <c r="C1092" s="289" t="s">
        <v>668</v>
      </c>
      <c r="D1092" s="289" t="s">
        <v>4291</v>
      </c>
      <c r="E1092" s="289" t="s">
        <v>4292</v>
      </c>
      <c r="F1092" s="289" t="s">
        <v>4293</v>
      </c>
      <c r="I1092" s="289" t="str">
        <f>("1059748")</f>
        <v>1059748</v>
      </c>
    </row>
    <row r="1093" spans="1:9">
      <c r="A1093" s="290">
        <v>1059847</v>
      </c>
      <c r="B1093" s="289" t="s">
        <v>667</v>
      </c>
      <c r="C1093" s="289" t="s">
        <v>668</v>
      </c>
      <c r="D1093" s="289" t="s">
        <v>4294</v>
      </c>
      <c r="E1093" s="289" t="s">
        <v>4295</v>
      </c>
      <c r="F1093" s="289" t="s">
        <v>4296</v>
      </c>
      <c r="I1093" s="289" t="str">
        <f>("1059847")</f>
        <v>1059847</v>
      </c>
    </row>
    <row r="1094" spans="1:9">
      <c r="A1094" s="290">
        <v>1060010</v>
      </c>
      <c r="B1094" s="289" t="s">
        <v>667</v>
      </c>
      <c r="C1094" s="289" t="s">
        <v>668</v>
      </c>
      <c r="D1094" s="289" t="s">
        <v>4297</v>
      </c>
      <c r="E1094" s="289" t="s">
        <v>4298</v>
      </c>
      <c r="F1094" s="289" t="s">
        <v>4299</v>
      </c>
      <c r="I1094" s="289" t="str">
        <f>("1060010")</f>
        <v>1060010</v>
      </c>
    </row>
    <row r="1095" spans="1:9">
      <c r="A1095" s="290">
        <v>1060591</v>
      </c>
      <c r="B1095" s="289" t="s">
        <v>1537</v>
      </c>
      <c r="C1095" s="289" t="s">
        <v>1574</v>
      </c>
      <c r="D1095" s="289" t="s">
        <v>4300</v>
      </c>
      <c r="E1095" s="289" t="s">
        <v>4301</v>
      </c>
      <c r="F1095" s="289" t="s">
        <v>4302</v>
      </c>
      <c r="I1095" s="289" t="str">
        <f>("1060591")</f>
        <v>1060591</v>
      </c>
    </row>
    <row r="1096" spans="1:9">
      <c r="A1096" s="290">
        <v>1060690</v>
      </c>
      <c r="B1096" s="289" t="s">
        <v>34</v>
      </c>
      <c r="C1096" s="289" t="s">
        <v>35</v>
      </c>
      <c r="D1096" s="289" t="s">
        <v>4303</v>
      </c>
      <c r="E1096" s="289" t="s">
        <v>4304</v>
      </c>
      <c r="F1096" s="289" t="s">
        <v>4305</v>
      </c>
      <c r="I1096" s="289" t="str">
        <f>("1060690")</f>
        <v>1060690</v>
      </c>
    </row>
    <row r="1097" spans="1:9">
      <c r="A1097" s="290">
        <v>1060799</v>
      </c>
      <c r="B1097" s="289" t="s">
        <v>34</v>
      </c>
      <c r="C1097" s="289" t="s">
        <v>35</v>
      </c>
      <c r="D1097" s="289" t="s">
        <v>4306</v>
      </c>
      <c r="E1097" s="289" t="s">
        <v>4307</v>
      </c>
      <c r="F1097" s="289" t="s">
        <v>4308</v>
      </c>
      <c r="I1097" s="289" t="str">
        <f>("1060799")</f>
        <v>1060799</v>
      </c>
    </row>
    <row r="1098" spans="1:9">
      <c r="A1098" s="290">
        <v>1060898</v>
      </c>
      <c r="B1098" s="289" t="s">
        <v>667</v>
      </c>
      <c r="C1098" s="289" t="s">
        <v>668</v>
      </c>
      <c r="D1098" s="289" t="s">
        <v>4309</v>
      </c>
      <c r="E1098" s="289" t="s">
        <v>4310</v>
      </c>
      <c r="F1098" s="289" t="s">
        <v>4311</v>
      </c>
      <c r="I1098" s="289" t="str">
        <f>("1060898")</f>
        <v>1060898</v>
      </c>
    </row>
    <row r="1099" spans="1:9">
      <c r="A1099" s="290">
        <v>1061413</v>
      </c>
      <c r="B1099" s="289" t="s">
        <v>1537</v>
      </c>
      <c r="C1099" s="289" t="s">
        <v>1543</v>
      </c>
      <c r="D1099" s="289" t="s">
        <v>4312</v>
      </c>
      <c r="E1099" s="289" t="s">
        <v>4313</v>
      </c>
      <c r="F1099" s="289" t="s">
        <v>4314</v>
      </c>
      <c r="I1099" s="289" t="str">
        <f>("1061413")</f>
        <v>1061413</v>
      </c>
    </row>
    <row r="1100" spans="1:9">
      <c r="A1100" s="290">
        <v>1062564</v>
      </c>
      <c r="B1100" s="289" t="s">
        <v>630</v>
      </c>
      <c r="C1100" s="289" t="s">
        <v>30</v>
      </c>
      <c r="D1100" s="289" t="s">
        <v>4315</v>
      </c>
      <c r="E1100" s="289" t="s">
        <v>4316</v>
      </c>
      <c r="F1100" s="289" t="s">
        <v>4317</v>
      </c>
      <c r="I1100" s="289" t="str">
        <f>("1062564")</f>
        <v>1062564</v>
      </c>
    </row>
    <row r="1101" spans="1:9">
      <c r="A1101" s="290">
        <v>1063554</v>
      </c>
      <c r="B1101" s="289" t="s">
        <v>1537</v>
      </c>
      <c r="C1101" s="289" t="s">
        <v>1543</v>
      </c>
      <c r="D1101" s="289" t="s">
        <v>242</v>
      </c>
      <c r="E1101" s="289" t="s">
        <v>243</v>
      </c>
      <c r="F1101" s="289" t="s">
        <v>4318</v>
      </c>
      <c r="I1101" s="289" t="str">
        <f>("1063554")</f>
        <v>1063554</v>
      </c>
    </row>
    <row r="1102" spans="1:9">
      <c r="A1102" s="290">
        <v>1063721</v>
      </c>
      <c r="B1102" s="289" t="s">
        <v>630</v>
      </c>
      <c r="C1102" s="289" t="s">
        <v>30</v>
      </c>
      <c r="D1102" s="289" t="s">
        <v>4319</v>
      </c>
      <c r="E1102" s="289" t="s">
        <v>4320</v>
      </c>
      <c r="F1102" s="289" t="s">
        <v>4321</v>
      </c>
      <c r="I1102" s="289" t="str">
        <f>("1063721")</f>
        <v>1063721</v>
      </c>
    </row>
    <row r="1103" spans="1:9">
      <c r="A1103" s="290">
        <v>1063738</v>
      </c>
      <c r="B1103" s="289" t="s">
        <v>630</v>
      </c>
      <c r="C1103" s="289" t="s">
        <v>30</v>
      </c>
      <c r="D1103" s="289" t="s">
        <v>4322</v>
      </c>
      <c r="E1103" s="289" t="s">
        <v>4323</v>
      </c>
      <c r="F1103" s="289" t="s">
        <v>4324</v>
      </c>
      <c r="I1103" s="289" t="str">
        <f>("1063738")</f>
        <v>1063738</v>
      </c>
    </row>
    <row r="1104" spans="1:9">
      <c r="A1104" s="290">
        <v>1063974</v>
      </c>
      <c r="B1104" s="289" t="s">
        <v>630</v>
      </c>
      <c r="C1104" s="289" t="s">
        <v>30</v>
      </c>
      <c r="D1104" s="289" t="s">
        <v>4329</v>
      </c>
      <c r="E1104" s="289" t="s">
        <v>3975</v>
      </c>
      <c r="F1104" s="289" t="s">
        <v>4330</v>
      </c>
      <c r="I1104" s="289" t="str">
        <f>("1063974")</f>
        <v>1063974</v>
      </c>
    </row>
    <row r="1105" spans="1:9">
      <c r="A1105" s="290">
        <v>1064933</v>
      </c>
      <c r="B1105" s="289" t="s">
        <v>1537</v>
      </c>
      <c r="C1105" s="289" t="s">
        <v>1543</v>
      </c>
      <c r="D1105" s="289" t="s">
        <v>4343</v>
      </c>
      <c r="E1105" s="289" t="s">
        <v>4344</v>
      </c>
      <c r="F1105" s="289" t="s">
        <v>4345</v>
      </c>
      <c r="I1105" s="289" t="str">
        <f>("1064933")</f>
        <v>1064933</v>
      </c>
    </row>
    <row r="1106" spans="1:9">
      <c r="A1106" s="290">
        <v>1065220</v>
      </c>
      <c r="B1106" s="289" t="s">
        <v>667</v>
      </c>
      <c r="C1106" s="289" t="s">
        <v>668</v>
      </c>
      <c r="D1106" s="289" t="s">
        <v>4346</v>
      </c>
      <c r="E1106" s="289" t="s">
        <v>4347</v>
      </c>
      <c r="F1106" s="289" t="s">
        <v>4348</v>
      </c>
      <c r="I1106" s="289" t="str">
        <f>("1065220")</f>
        <v>1065220</v>
      </c>
    </row>
    <row r="1107" spans="1:9">
      <c r="A1107" s="290">
        <v>1065343</v>
      </c>
      <c r="B1107" s="289" t="s">
        <v>1537</v>
      </c>
      <c r="C1107" s="289" t="s">
        <v>1543</v>
      </c>
      <c r="D1107" s="289" t="s">
        <v>4349</v>
      </c>
      <c r="E1107" s="289" t="s">
        <v>4350</v>
      </c>
      <c r="F1107" s="289" t="s">
        <v>4351</v>
      </c>
      <c r="I1107" s="289" t="str">
        <f>("1065343")</f>
        <v>1065343</v>
      </c>
    </row>
    <row r="1108" spans="1:9">
      <c r="A1108" s="290">
        <v>1065381</v>
      </c>
      <c r="B1108" s="289" t="s">
        <v>1537</v>
      </c>
      <c r="C1108" s="289" t="s">
        <v>1543</v>
      </c>
      <c r="D1108" s="289" t="s">
        <v>4352</v>
      </c>
      <c r="E1108" s="289" t="s">
        <v>4353</v>
      </c>
      <c r="F1108" s="289" t="s">
        <v>4354</v>
      </c>
      <c r="I1108" s="289" t="str">
        <f>("1065381")</f>
        <v>1065381</v>
      </c>
    </row>
    <row r="1109" spans="1:9">
      <c r="A1109" s="290">
        <v>1066012</v>
      </c>
      <c r="B1109" s="289" t="s">
        <v>3117</v>
      </c>
      <c r="C1109" s="289" t="s">
        <v>668</v>
      </c>
      <c r="D1109" s="289" t="s">
        <v>4755</v>
      </c>
      <c r="E1109" s="289" t="s">
        <v>4756</v>
      </c>
      <c r="F1109" s="289" t="s">
        <v>4757</v>
      </c>
      <c r="I1109" s="289" t="str">
        <f>("1066012")</f>
        <v>1066012</v>
      </c>
    </row>
    <row r="1110" spans="1:9">
      <c r="A1110" s="290">
        <v>1066678</v>
      </c>
      <c r="B1110" s="289" t="s">
        <v>34</v>
      </c>
      <c r="C1110" s="289" t="s">
        <v>35</v>
      </c>
      <c r="D1110" s="289" t="s">
        <v>5302</v>
      </c>
      <c r="E1110" s="289" t="s">
        <v>4758</v>
      </c>
      <c r="F1110" s="289" t="s">
        <v>4759</v>
      </c>
      <c r="I1110" s="289" t="str">
        <f>("1066678")</f>
        <v>1066678</v>
      </c>
    </row>
    <row r="1111" spans="1:9">
      <c r="A1111" s="290">
        <v>1066685</v>
      </c>
      <c r="B1111" s="289" t="s">
        <v>34</v>
      </c>
      <c r="C1111" s="289" t="s">
        <v>35</v>
      </c>
      <c r="D1111" s="289" t="s">
        <v>4760</v>
      </c>
      <c r="E1111" s="289" t="s">
        <v>4761</v>
      </c>
      <c r="F1111" s="289" t="s">
        <v>4762</v>
      </c>
      <c r="I1111" s="289" t="str">
        <f>("1066685")</f>
        <v>1066685</v>
      </c>
    </row>
    <row r="1112" spans="1:9">
      <c r="A1112" s="290">
        <v>1066715</v>
      </c>
      <c r="B1112" s="289" t="s">
        <v>34</v>
      </c>
      <c r="C1112" s="289" t="s">
        <v>35</v>
      </c>
      <c r="D1112" s="289" t="s">
        <v>4763</v>
      </c>
      <c r="E1112" s="289" t="s">
        <v>4764</v>
      </c>
      <c r="F1112" s="289" t="s">
        <v>4765</v>
      </c>
      <c r="I1112" s="289" t="str">
        <f>("1066715")</f>
        <v>1066715</v>
      </c>
    </row>
    <row r="1113" spans="1:9">
      <c r="A1113" s="290">
        <v>1066739</v>
      </c>
      <c r="B1113" s="289" t="s">
        <v>34</v>
      </c>
      <c r="C1113" s="289" t="s">
        <v>35</v>
      </c>
      <c r="D1113" s="289" t="s">
        <v>4766</v>
      </c>
      <c r="E1113" s="289" t="s">
        <v>4767</v>
      </c>
      <c r="F1113" s="289" t="s">
        <v>4768</v>
      </c>
      <c r="I1113" s="289" t="str">
        <f>("1066739")</f>
        <v>1066739</v>
      </c>
    </row>
    <row r="1114" spans="1:9">
      <c r="A1114" s="290">
        <v>1066906</v>
      </c>
      <c r="B1114" s="289" t="s">
        <v>34</v>
      </c>
      <c r="C1114" s="289" t="s">
        <v>35</v>
      </c>
      <c r="D1114" s="289" t="s">
        <v>4769</v>
      </c>
      <c r="E1114" s="289" t="s">
        <v>4770</v>
      </c>
      <c r="F1114" s="289" t="s">
        <v>4771</v>
      </c>
      <c r="I1114" s="289" t="str">
        <f>("1066906")</f>
        <v>1066906</v>
      </c>
    </row>
    <row r="1115" spans="1:9">
      <c r="A1115" s="290">
        <v>1066913</v>
      </c>
      <c r="B1115" s="289" t="s">
        <v>34</v>
      </c>
      <c r="C1115" s="289" t="s">
        <v>35</v>
      </c>
      <c r="D1115" s="289" t="s">
        <v>5025</v>
      </c>
      <c r="E1115" s="289" t="s">
        <v>5026</v>
      </c>
      <c r="F1115" s="289" t="s">
        <v>5027</v>
      </c>
      <c r="I1115" s="289" t="str">
        <f>("1066913")</f>
        <v>1066913</v>
      </c>
    </row>
    <row r="1116" spans="1:9">
      <c r="A1116" s="290">
        <v>1066920</v>
      </c>
      <c r="B1116" s="289" t="s">
        <v>34</v>
      </c>
      <c r="C1116" s="289" t="s">
        <v>35</v>
      </c>
      <c r="D1116" s="289" t="s">
        <v>4772</v>
      </c>
      <c r="E1116" s="289" t="s">
        <v>4773</v>
      </c>
      <c r="F1116" s="289" t="s">
        <v>4774</v>
      </c>
      <c r="I1116" s="289" t="str">
        <f>("1066920")</f>
        <v>1066920</v>
      </c>
    </row>
    <row r="1117" spans="1:9">
      <c r="A1117" s="290">
        <v>1066944</v>
      </c>
      <c r="B1117" s="289" t="s">
        <v>34</v>
      </c>
      <c r="C1117" s="289" t="s">
        <v>35</v>
      </c>
      <c r="D1117" s="289" t="s">
        <v>4775</v>
      </c>
      <c r="E1117" s="289" t="s">
        <v>4776</v>
      </c>
      <c r="F1117" s="289" t="s">
        <v>4777</v>
      </c>
      <c r="I1117" s="289" t="str">
        <f>("1066944")</f>
        <v>1066944</v>
      </c>
    </row>
    <row r="1118" spans="1:9">
      <c r="A1118" s="290">
        <v>1067125</v>
      </c>
      <c r="B1118" s="289" t="s">
        <v>667</v>
      </c>
      <c r="C1118" s="289" t="s">
        <v>668</v>
      </c>
      <c r="D1118" s="289" t="s">
        <v>4778</v>
      </c>
      <c r="E1118" s="289" t="s">
        <v>4779</v>
      </c>
      <c r="F1118" s="289" t="s">
        <v>4780</v>
      </c>
      <c r="I1118" s="289" t="str">
        <f>("1067125")</f>
        <v>1067125</v>
      </c>
    </row>
    <row r="1119" spans="1:9">
      <c r="A1119" s="290">
        <v>1067170</v>
      </c>
      <c r="B1119" s="289" t="s">
        <v>667</v>
      </c>
      <c r="C1119" s="289" t="s">
        <v>668</v>
      </c>
      <c r="D1119" s="289" t="s">
        <v>4781</v>
      </c>
      <c r="E1119" s="289" t="s">
        <v>4782</v>
      </c>
      <c r="F1119" s="289" t="s">
        <v>4783</v>
      </c>
      <c r="I1119" s="289" t="str">
        <f>("1067170")</f>
        <v>1067170</v>
      </c>
    </row>
    <row r="1120" spans="1:9">
      <c r="A1120" s="290">
        <v>1067200</v>
      </c>
      <c r="B1120" s="289" t="s">
        <v>34</v>
      </c>
      <c r="C1120" s="289" t="s">
        <v>35</v>
      </c>
      <c r="D1120" s="289" t="s">
        <v>3943</v>
      </c>
      <c r="E1120" s="289" t="s">
        <v>4784</v>
      </c>
      <c r="F1120" s="289" t="s">
        <v>3945</v>
      </c>
      <c r="I1120" s="289" t="str">
        <f>("1067200")</f>
        <v>1067200</v>
      </c>
    </row>
    <row r="1121" spans="1:9">
      <c r="A1121" s="290">
        <v>1067354</v>
      </c>
      <c r="B1121" s="289" t="s">
        <v>667</v>
      </c>
      <c r="C1121" s="289" t="s">
        <v>668</v>
      </c>
      <c r="D1121" s="289" t="s">
        <v>4785</v>
      </c>
      <c r="E1121" s="289" t="s">
        <v>4786</v>
      </c>
      <c r="F1121" s="289" t="s">
        <v>5028</v>
      </c>
      <c r="I1121" s="289" t="str">
        <f>("1067354")</f>
        <v>1067354</v>
      </c>
    </row>
    <row r="1122" spans="1:9">
      <c r="A1122" s="290">
        <v>1067460</v>
      </c>
      <c r="B1122" s="289" t="s">
        <v>667</v>
      </c>
      <c r="C1122" s="289" t="s">
        <v>668</v>
      </c>
      <c r="D1122" s="289" t="s">
        <v>5029</v>
      </c>
      <c r="E1122" s="289" t="s">
        <v>5030</v>
      </c>
      <c r="F1122" s="289" t="s">
        <v>5031</v>
      </c>
      <c r="I1122" s="289" t="str">
        <f>("1067460")</f>
        <v>1067460</v>
      </c>
    </row>
    <row r="1123" spans="1:9">
      <c r="A1123" s="290">
        <v>1067484</v>
      </c>
      <c r="B1123" s="289" t="s">
        <v>34</v>
      </c>
      <c r="C1123" s="289" t="s">
        <v>35</v>
      </c>
      <c r="D1123" s="289" t="s">
        <v>4787</v>
      </c>
      <c r="E1123" s="289" t="s">
        <v>4788</v>
      </c>
      <c r="F1123" s="289" t="s">
        <v>4789</v>
      </c>
      <c r="I1123" s="289" t="str">
        <f>("1067484")</f>
        <v>1067484</v>
      </c>
    </row>
    <row r="1124" spans="1:9">
      <c r="A1124" s="290">
        <v>1067507</v>
      </c>
      <c r="B1124" s="289" t="s">
        <v>667</v>
      </c>
      <c r="C1124" s="289" t="s">
        <v>668</v>
      </c>
      <c r="D1124" s="289" t="s">
        <v>5303</v>
      </c>
      <c r="E1124" s="289" t="s">
        <v>5304</v>
      </c>
      <c r="F1124" s="289" t="s">
        <v>5305</v>
      </c>
      <c r="I1124" s="289" t="str">
        <f>("1067507")</f>
        <v>1067507</v>
      </c>
    </row>
    <row r="1125" spans="1:9">
      <c r="A1125" s="290">
        <v>1067590</v>
      </c>
      <c r="B1125" s="289" t="s">
        <v>34</v>
      </c>
      <c r="C1125" s="289" t="s">
        <v>35</v>
      </c>
      <c r="D1125" s="289" t="s">
        <v>4790</v>
      </c>
      <c r="E1125" s="289" t="s">
        <v>4791</v>
      </c>
      <c r="F1125" s="289" t="s">
        <v>4792</v>
      </c>
      <c r="I1125" s="289" t="str">
        <f>("1067590")</f>
        <v>1067590</v>
      </c>
    </row>
    <row r="1126" spans="1:9">
      <c r="A1126" s="290">
        <v>1067668</v>
      </c>
      <c r="B1126" s="289" t="s">
        <v>34</v>
      </c>
      <c r="C1126" s="289" t="s">
        <v>35</v>
      </c>
      <c r="D1126" s="289" t="s">
        <v>5306</v>
      </c>
      <c r="E1126" s="289" t="s">
        <v>5307</v>
      </c>
      <c r="F1126" s="289" t="s">
        <v>5308</v>
      </c>
      <c r="I1126" s="289" t="str">
        <f>("1067668")</f>
        <v>1067668</v>
      </c>
    </row>
    <row r="1127" spans="1:9">
      <c r="A1127" s="290">
        <v>1067675</v>
      </c>
      <c r="B1127" s="289" t="s">
        <v>667</v>
      </c>
      <c r="C1127" s="289" t="s">
        <v>668</v>
      </c>
      <c r="D1127" s="289" t="s">
        <v>4793</v>
      </c>
      <c r="E1127" s="289" t="s">
        <v>4794</v>
      </c>
      <c r="F1127" s="289" t="s">
        <v>4795</v>
      </c>
      <c r="I1127" s="289" t="str">
        <f>("1067675")</f>
        <v>1067675</v>
      </c>
    </row>
    <row r="1128" spans="1:9">
      <c r="A1128" s="290">
        <v>1067767</v>
      </c>
      <c r="B1128" s="289" t="s">
        <v>34</v>
      </c>
      <c r="C1128" s="289" t="s">
        <v>35</v>
      </c>
      <c r="D1128" s="289" t="s">
        <v>4796</v>
      </c>
      <c r="E1128" s="289" t="s">
        <v>4797</v>
      </c>
      <c r="F1128" s="289" t="s">
        <v>4798</v>
      </c>
      <c r="I1128" s="289" t="str">
        <f>("1067767")</f>
        <v>1067767</v>
      </c>
    </row>
    <row r="1129" spans="1:9">
      <c r="A1129" s="290">
        <v>1067811</v>
      </c>
      <c r="B1129" s="289" t="s">
        <v>630</v>
      </c>
      <c r="C1129" s="289" t="s">
        <v>30</v>
      </c>
      <c r="D1129" s="289" t="s">
        <v>4174</v>
      </c>
      <c r="E1129" s="289" t="s">
        <v>4175</v>
      </c>
      <c r="F1129" s="289" t="s">
        <v>4176</v>
      </c>
      <c r="I1129" s="289" t="str">
        <f>("1067811")</f>
        <v>1067811</v>
      </c>
    </row>
    <row r="1130" spans="1:9">
      <c r="A1130" s="290">
        <v>1067873</v>
      </c>
      <c r="B1130" s="289" t="s">
        <v>667</v>
      </c>
      <c r="C1130" s="289" t="s">
        <v>668</v>
      </c>
      <c r="D1130" s="289" t="s">
        <v>4799</v>
      </c>
      <c r="E1130" s="289" t="s">
        <v>4800</v>
      </c>
      <c r="F1130" s="289" t="s">
        <v>4801</v>
      </c>
      <c r="I1130" s="289" t="str">
        <f>("1067873")</f>
        <v>1067873</v>
      </c>
    </row>
    <row r="1131" spans="1:9">
      <c r="A1131" s="290">
        <v>1067897</v>
      </c>
      <c r="B1131" s="289" t="s">
        <v>630</v>
      </c>
      <c r="C1131" s="289" t="s">
        <v>30</v>
      </c>
      <c r="D1131" s="289" t="s">
        <v>4802</v>
      </c>
      <c r="E1131" s="289" t="s">
        <v>4803</v>
      </c>
      <c r="F1131" s="289" t="s">
        <v>4804</v>
      </c>
      <c r="I1131" s="289" t="str">
        <f>("1067897")</f>
        <v>1067897</v>
      </c>
    </row>
    <row r="1132" spans="1:9">
      <c r="A1132" s="290">
        <v>1067910</v>
      </c>
      <c r="B1132" s="289" t="s">
        <v>630</v>
      </c>
      <c r="C1132" s="289" t="s">
        <v>30</v>
      </c>
      <c r="D1132" s="289" t="s">
        <v>4184</v>
      </c>
      <c r="E1132" s="289" t="s">
        <v>4185</v>
      </c>
      <c r="F1132" s="289" t="s">
        <v>4186</v>
      </c>
      <c r="I1132" s="289" t="str">
        <f>("1067910")</f>
        <v>1067910</v>
      </c>
    </row>
    <row r="1133" spans="1:9">
      <c r="A1133" s="290">
        <v>1067965</v>
      </c>
      <c r="B1133" s="289" t="s">
        <v>667</v>
      </c>
      <c r="C1133" s="289" t="s">
        <v>668</v>
      </c>
      <c r="D1133" s="289" t="s">
        <v>4805</v>
      </c>
      <c r="E1133" s="289" t="s">
        <v>4806</v>
      </c>
      <c r="F1133" s="289" t="s">
        <v>4807</v>
      </c>
      <c r="I1133" s="289" t="str">
        <f>("1067965")</f>
        <v>1067965</v>
      </c>
    </row>
    <row r="1134" spans="1:9">
      <c r="A1134" s="290">
        <v>1068467</v>
      </c>
      <c r="B1134" s="289" t="s">
        <v>630</v>
      </c>
      <c r="C1134" s="289" t="s">
        <v>30</v>
      </c>
      <c r="D1134" s="289" t="s">
        <v>4808</v>
      </c>
      <c r="E1134" s="289" t="s">
        <v>4199</v>
      </c>
      <c r="F1134" s="289" t="s">
        <v>4200</v>
      </c>
      <c r="I1134" s="289" t="str">
        <f>("1068467")</f>
        <v>1068467</v>
      </c>
    </row>
    <row r="1135" spans="1:9">
      <c r="A1135" s="290">
        <v>1070125</v>
      </c>
      <c r="B1135" s="289" t="s">
        <v>1537</v>
      </c>
      <c r="C1135" s="289" t="s">
        <v>1574</v>
      </c>
      <c r="D1135" s="289" t="s">
        <v>4809</v>
      </c>
      <c r="E1135" s="289" t="s">
        <v>4810</v>
      </c>
      <c r="F1135" s="289" t="s">
        <v>4811</v>
      </c>
      <c r="I1135" s="289" t="str">
        <f>("1070125")</f>
        <v>1070125</v>
      </c>
    </row>
    <row r="1136" spans="1:9">
      <c r="A1136" s="290">
        <v>1070781</v>
      </c>
      <c r="B1136" s="289" t="s">
        <v>34</v>
      </c>
      <c r="C1136" s="289" t="s">
        <v>35</v>
      </c>
      <c r="D1136" s="289" t="s">
        <v>4815</v>
      </c>
      <c r="E1136" s="289" t="s">
        <v>4816</v>
      </c>
      <c r="F1136" s="289" t="s">
        <v>4817</v>
      </c>
      <c r="I1136" s="289" t="str">
        <f>("1070781")</f>
        <v>1070781</v>
      </c>
    </row>
    <row r="1137" spans="1:9">
      <c r="A1137" s="290">
        <v>1071047</v>
      </c>
      <c r="B1137" s="289" t="s">
        <v>34</v>
      </c>
      <c r="C1137" s="289" t="s">
        <v>35</v>
      </c>
      <c r="D1137" s="289" t="s">
        <v>5032</v>
      </c>
      <c r="E1137" s="289" t="s">
        <v>5033</v>
      </c>
      <c r="F1137" s="289" t="s">
        <v>5034</v>
      </c>
      <c r="I1137" s="289" t="str">
        <f>("1071047")</f>
        <v>1071047</v>
      </c>
    </row>
    <row r="1138" spans="1:9">
      <c r="A1138" s="290">
        <v>1072365</v>
      </c>
      <c r="B1138" s="289" t="s">
        <v>667</v>
      </c>
      <c r="C1138" s="289" t="s">
        <v>668</v>
      </c>
      <c r="D1138" s="289" t="s">
        <v>4822</v>
      </c>
      <c r="E1138" s="289" t="s">
        <v>4823</v>
      </c>
      <c r="F1138" s="289" t="s">
        <v>4824</v>
      </c>
      <c r="I1138" s="289" t="str">
        <f>("1072365")</f>
        <v>1072365</v>
      </c>
    </row>
    <row r="1139" spans="1:9">
      <c r="A1139" s="290">
        <v>1072631</v>
      </c>
      <c r="B1139" s="289" t="s">
        <v>29</v>
      </c>
      <c r="C1139" s="289" t="s">
        <v>212</v>
      </c>
      <c r="D1139" s="289" t="s">
        <v>5035</v>
      </c>
      <c r="E1139" s="289" t="s">
        <v>5036</v>
      </c>
      <c r="F1139" s="289" t="s">
        <v>5037</v>
      </c>
      <c r="I1139" s="289" t="str">
        <f>("1072631")</f>
        <v>1072631</v>
      </c>
    </row>
    <row r="1140" spans="1:9">
      <c r="A1140" s="290">
        <v>1072686</v>
      </c>
      <c r="B1140" s="289" t="s">
        <v>1537</v>
      </c>
      <c r="C1140" s="289" t="s">
        <v>1543</v>
      </c>
      <c r="D1140" s="289" t="s">
        <v>5038</v>
      </c>
      <c r="E1140" s="289" t="s">
        <v>5039</v>
      </c>
      <c r="F1140" s="289" t="s">
        <v>5309</v>
      </c>
      <c r="I1140" s="289" t="str">
        <f>("1072686")</f>
        <v>1072686</v>
      </c>
    </row>
    <row r="1141" spans="1:9">
      <c r="A1141" s="290">
        <v>1072846</v>
      </c>
      <c r="B1141" s="289" t="s">
        <v>667</v>
      </c>
      <c r="C1141" s="289" t="s">
        <v>668</v>
      </c>
      <c r="D1141" s="289" t="s">
        <v>5040</v>
      </c>
      <c r="E1141" s="289" t="s">
        <v>5041</v>
      </c>
      <c r="F1141" s="289" t="s">
        <v>5042</v>
      </c>
      <c r="I1141" s="289" t="str">
        <f>("1072846")</f>
        <v>1072846</v>
      </c>
    </row>
    <row r="1142" spans="1:9">
      <c r="A1142" s="290">
        <v>1072877</v>
      </c>
      <c r="B1142" s="289" t="s">
        <v>667</v>
      </c>
      <c r="C1142" s="289" t="s">
        <v>668</v>
      </c>
      <c r="D1142" s="289" t="s">
        <v>5043</v>
      </c>
      <c r="E1142" s="289" t="s">
        <v>5044</v>
      </c>
      <c r="F1142" s="289" t="s">
        <v>5045</v>
      </c>
      <c r="I1142" s="289" t="str">
        <f>("1072877")</f>
        <v>1072877</v>
      </c>
    </row>
    <row r="1143" spans="1:9">
      <c r="A1143" s="290">
        <v>1074154</v>
      </c>
      <c r="B1143" s="289" t="s">
        <v>1537</v>
      </c>
      <c r="C1143" s="289" t="s">
        <v>5258</v>
      </c>
      <c r="D1143" s="289" t="s">
        <v>5310</v>
      </c>
      <c r="E1143" s="289" t="s">
        <v>5311</v>
      </c>
      <c r="F1143" s="289" t="s">
        <v>5312</v>
      </c>
      <c r="I1143" s="289" t="str">
        <f>("1074154")</f>
        <v>1074154</v>
      </c>
    </row>
    <row r="1144" spans="1:9">
      <c r="A1144" s="290">
        <v>1074505</v>
      </c>
      <c r="B1144" s="289" t="s">
        <v>3117</v>
      </c>
      <c r="C1144" s="289" t="s">
        <v>668</v>
      </c>
      <c r="D1144" s="289" t="s">
        <v>5050</v>
      </c>
      <c r="E1144" s="289" t="s">
        <v>5051</v>
      </c>
      <c r="F1144" s="289" t="s">
        <v>5052</v>
      </c>
      <c r="I1144" s="289" t="str">
        <f>("1074505")</f>
        <v>1074505</v>
      </c>
    </row>
    <row r="1145" spans="1:9">
      <c r="A1145" s="290">
        <v>1075380</v>
      </c>
      <c r="B1145" s="289" t="s">
        <v>34</v>
      </c>
      <c r="C1145" s="289" t="s">
        <v>35</v>
      </c>
      <c r="D1145" s="289" t="s">
        <v>5053</v>
      </c>
      <c r="E1145" s="289" t="s">
        <v>5054</v>
      </c>
      <c r="F1145" s="289" t="s">
        <v>5055</v>
      </c>
      <c r="I1145" s="289" t="str">
        <f>("1075380")</f>
        <v>1075380</v>
      </c>
    </row>
    <row r="1146" spans="1:9">
      <c r="A1146" s="290">
        <v>1075397</v>
      </c>
      <c r="B1146" s="289" t="s">
        <v>34</v>
      </c>
      <c r="C1146" s="289" t="s">
        <v>35</v>
      </c>
      <c r="D1146" s="289" t="s">
        <v>5056</v>
      </c>
      <c r="E1146" s="289" t="s">
        <v>5057</v>
      </c>
      <c r="F1146" s="289" t="s">
        <v>5058</v>
      </c>
      <c r="I1146" s="289" t="str">
        <f>("1075397")</f>
        <v>1075397</v>
      </c>
    </row>
    <row r="1147" spans="1:9">
      <c r="A1147" s="290">
        <v>1075410</v>
      </c>
      <c r="B1147" s="289" t="s">
        <v>34</v>
      </c>
      <c r="C1147" s="289" t="s">
        <v>35</v>
      </c>
      <c r="D1147" s="289" t="s">
        <v>5059</v>
      </c>
      <c r="E1147" s="289" t="s">
        <v>5060</v>
      </c>
      <c r="F1147" s="289" t="s">
        <v>5061</v>
      </c>
      <c r="I1147" s="289" t="str">
        <f>("1075410")</f>
        <v>1075410</v>
      </c>
    </row>
    <row r="1148" spans="1:9">
      <c r="A1148" s="290">
        <v>1075427</v>
      </c>
      <c r="B1148" s="289" t="s">
        <v>34</v>
      </c>
      <c r="C1148" s="289" t="s">
        <v>35</v>
      </c>
      <c r="D1148" s="289" t="s">
        <v>5062</v>
      </c>
      <c r="E1148" s="289" t="s">
        <v>5063</v>
      </c>
      <c r="F1148" s="289" t="s">
        <v>5064</v>
      </c>
      <c r="I1148" s="289" t="str">
        <f>("1075427")</f>
        <v>1075427</v>
      </c>
    </row>
    <row r="1149" spans="1:9">
      <c r="A1149" s="290">
        <v>1075458</v>
      </c>
      <c r="B1149" s="289" t="s">
        <v>34</v>
      </c>
      <c r="C1149" s="289" t="s">
        <v>35</v>
      </c>
      <c r="D1149" s="289" t="s">
        <v>5065</v>
      </c>
      <c r="E1149" s="289" t="s">
        <v>5066</v>
      </c>
      <c r="F1149" s="289" t="s">
        <v>5067</v>
      </c>
      <c r="I1149" s="289" t="str">
        <f>("1075458")</f>
        <v>1075458</v>
      </c>
    </row>
    <row r="1150" spans="1:9">
      <c r="A1150" s="290">
        <v>1075472</v>
      </c>
      <c r="B1150" s="289" t="s">
        <v>34</v>
      </c>
      <c r="C1150" s="289" t="s">
        <v>35</v>
      </c>
      <c r="D1150" s="289" t="s">
        <v>5068</v>
      </c>
      <c r="E1150" s="289" t="s">
        <v>5069</v>
      </c>
      <c r="F1150" s="289" t="s">
        <v>5070</v>
      </c>
      <c r="I1150" s="289" t="str">
        <f>("1075472")</f>
        <v>1075472</v>
      </c>
    </row>
    <row r="1151" spans="1:9">
      <c r="A1151" s="290">
        <v>1075588</v>
      </c>
      <c r="B1151" s="289" t="s">
        <v>34</v>
      </c>
      <c r="C1151" s="289" t="s">
        <v>35</v>
      </c>
      <c r="D1151" s="289" t="s">
        <v>5071</v>
      </c>
      <c r="E1151" s="289" t="s">
        <v>5072</v>
      </c>
      <c r="F1151" s="289" t="s">
        <v>5073</v>
      </c>
      <c r="I1151" s="289" t="str">
        <f>("1075588")</f>
        <v>1075588</v>
      </c>
    </row>
    <row r="1152" spans="1:9">
      <c r="A1152" s="290">
        <v>1075625</v>
      </c>
      <c r="B1152" s="289" t="s">
        <v>667</v>
      </c>
      <c r="C1152" s="289" t="s">
        <v>668</v>
      </c>
      <c r="D1152" s="289" t="s">
        <v>5074</v>
      </c>
      <c r="E1152" s="289" t="s">
        <v>5075</v>
      </c>
      <c r="F1152" s="289" t="s">
        <v>5076</v>
      </c>
      <c r="I1152" s="289" t="str">
        <f>("1075625")</f>
        <v>1075625</v>
      </c>
    </row>
    <row r="1153" spans="1:9">
      <c r="A1153" s="290">
        <v>1075632</v>
      </c>
      <c r="B1153" s="289" t="s">
        <v>667</v>
      </c>
      <c r="C1153" s="289" t="s">
        <v>668</v>
      </c>
      <c r="D1153" s="289" t="s">
        <v>5077</v>
      </c>
      <c r="E1153" s="289" t="s">
        <v>5078</v>
      </c>
      <c r="F1153" s="289" t="s">
        <v>5079</v>
      </c>
      <c r="I1153" s="289" t="str">
        <f>("1075632")</f>
        <v>1075632</v>
      </c>
    </row>
    <row r="1154" spans="1:9">
      <c r="A1154" s="290">
        <v>1075656</v>
      </c>
      <c r="B1154" s="289" t="s">
        <v>667</v>
      </c>
      <c r="C1154" s="289" t="s">
        <v>668</v>
      </c>
      <c r="D1154" s="289" t="s">
        <v>5080</v>
      </c>
      <c r="E1154" s="289" t="s">
        <v>5081</v>
      </c>
      <c r="F1154" s="289" t="s">
        <v>5082</v>
      </c>
      <c r="I1154" s="289" t="str">
        <f>("1075656")</f>
        <v>1075656</v>
      </c>
    </row>
    <row r="1155" spans="1:9">
      <c r="A1155" s="290">
        <v>1075724</v>
      </c>
      <c r="B1155" s="289" t="s">
        <v>34</v>
      </c>
      <c r="C1155" s="289" t="s">
        <v>35</v>
      </c>
      <c r="D1155" s="289" t="s">
        <v>5083</v>
      </c>
      <c r="E1155" s="289" t="s">
        <v>5084</v>
      </c>
      <c r="F1155" s="289" t="s">
        <v>5085</v>
      </c>
      <c r="I1155" s="289" t="str">
        <f>("1075724")</f>
        <v>1075724</v>
      </c>
    </row>
    <row r="1156" spans="1:9">
      <c r="A1156" s="290">
        <v>1075731</v>
      </c>
      <c r="B1156" s="289" t="s">
        <v>34</v>
      </c>
      <c r="C1156" s="289" t="s">
        <v>35</v>
      </c>
      <c r="D1156" s="289" t="s">
        <v>5086</v>
      </c>
      <c r="E1156" s="289" t="s">
        <v>5087</v>
      </c>
      <c r="F1156" s="289" t="s">
        <v>5088</v>
      </c>
      <c r="I1156" s="289" t="str">
        <f>("1075731")</f>
        <v>1075731</v>
      </c>
    </row>
    <row r="1157" spans="1:9">
      <c r="A1157" s="290">
        <v>1075809</v>
      </c>
      <c r="B1157" s="289" t="s">
        <v>667</v>
      </c>
      <c r="C1157" s="289" t="s">
        <v>668</v>
      </c>
      <c r="D1157" s="289" t="s">
        <v>5089</v>
      </c>
      <c r="E1157" s="289" t="s">
        <v>5090</v>
      </c>
      <c r="F1157" s="289" t="s">
        <v>5091</v>
      </c>
      <c r="I1157" s="289" t="str">
        <f>("1075809")</f>
        <v>1075809</v>
      </c>
    </row>
    <row r="1158" spans="1:9">
      <c r="A1158" s="290">
        <v>1075854</v>
      </c>
      <c r="B1158" s="289" t="s">
        <v>34</v>
      </c>
      <c r="C1158" s="289" t="s">
        <v>35</v>
      </c>
      <c r="D1158" s="289" t="s">
        <v>5092</v>
      </c>
      <c r="E1158" s="289" t="s">
        <v>5093</v>
      </c>
      <c r="F1158" s="289" t="s">
        <v>5094</v>
      </c>
      <c r="I1158" s="289" t="str">
        <f>("1075854")</f>
        <v>1075854</v>
      </c>
    </row>
    <row r="1159" spans="1:9">
      <c r="A1159" s="290">
        <v>1075892</v>
      </c>
      <c r="B1159" s="289" t="s">
        <v>34</v>
      </c>
      <c r="C1159" s="289" t="s">
        <v>35</v>
      </c>
      <c r="D1159" s="289" t="s">
        <v>5095</v>
      </c>
      <c r="E1159" s="289" t="s">
        <v>5096</v>
      </c>
      <c r="F1159" s="289" t="s">
        <v>5097</v>
      </c>
      <c r="I1159" s="289" t="str">
        <f>("1075892")</f>
        <v>1075892</v>
      </c>
    </row>
    <row r="1160" spans="1:9">
      <c r="A1160" s="290">
        <v>1075922</v>
      </c>
      <c r="B1160" s="289" t="s">
        <v>667</v>
      </c>
      <c r="C1160" s="289" t="s">
        <v>668</v>
      </c>
      <c r="D1160" s="289" t="s">
        <v>5098</v>
      </c>
      <c r="E1160" s="289" t="s">
        <v>5099</v>
      </c>
      <c r="F1160" s="289" t="s">
        <v>5100</v>
      </c>
      <c r="I1160" s="289" t="str">
        <f>("1075922")</f>
        <v>1075922</v>
      </c>
    </row>
    <row r="1161" spans="1:9">
      <c r="A1161" s="290">
        <v>1075939</v>
      </c>
      <c r="B1161" s="289" t="s">
        <v>667</v>
      </c>
      <c r="C1161" s="289" t="s">
        <v>668</v>
      </c>
      <c r="D1161" s="289" t="s">
        <v>5101</v>
      </c>
      <c r="E1161" s="289" t="s">
        <v>5102</v>
      </c>
      <c r="F1161" s="289" t="s">
        <v>5103</v>
      </c>
      <c r="I1161" s="289" t="str">
        <f>("1075939")</f>
        <v>1075939</v>
      </c>
    </row>
    <row r="1162" spans="1:9">
      <c r="A1162" s="290">
        <v>1075977</v>
      </c>
      <c r="B1162" s="289" t="s">
        <v>667</v>
      </c>
      <c r="C1162" s="289" t="s">
        <v>668</v>
      </c>
      <c r="D1162" s="289" t="s">
        <v>5104</v>
      </c>
      <c r="E1162" s="289" t="s">
        <v>5105</v>
      </c>
      <c r="F1162" s="289" t="s">
        <v>5106</v>
      </c>
      <c r="I1162" s="289" t="str">
        <f>("1075977")</f>
        <v>1075977</v>
      </c>
    </row>
    <row r="1163" spans="1:9">
      <c r="A1163" s="290">
        <v>1076011</v>
      </c>
      <c r="B1163" s="289" t="s">
        <v>34</v>
      </c>
      <c r="C1163" s="289" t="s">
        <v>35</v>
      </c>
      <c r="D1163" s="289" t="s">
        <v>5107</v>
      </c>
      <c r="E1163" s="289" t="s">
        <v>5108</v>
      </c>
      <c r="F1163" s="289" t="s">
        <v>5109</v>
      </c>
      <c r="I1163" s="289" t="str">
        <f>("1076011")</f>
        <v>1076011</v>
      </c>
    </row>
    <row r="1164" spans="1:9">
      <c r="A1164" s="290">
        <v>1076028</v>
      </c>
      <c r="B1164" s="289" t="s">
        <v>667</v>
      </c>
      <c r="C1164" s="289" t="s">
        <v>668</v>
      </c>
      <c r="D1164" s="289" t="s">
        <v>5110</v>
      </c>
      <c r="E1164" s="289" t="s">
        <v>5111</v>
      </c>
      <c r="F1164" s="289" t="s">
        <v>5112</v>
      </c>
      <c r="I1164" s="289" t="str">
        <f>("1076028")</f>
        <v>1076028</v>
      </c>
    </row>
    <row r="1165" spans="1:9">
      <c r="A1165" s="290">
        <v>1076035</v>
      </c>
      <c r="B1165" s="289" t="s">
        <v>667</v>
      </c>
      <c r="C1165" s="289" t="s">
        <v>668</v>
      </c>
      <c r="D1165" s="289" t="s">
        <v>5113</v>
      </c>
      <c r="E1165" s="289" t="s">
        <v>5114</v>
      </c>
      <c r="F1165" s="289" t="s">
        <v>5115</v>
      </c>
      <c r="I1165" s="289" t="str">
        <f>("1076035")</f>
        <v>1076035</v>
      </c>
    </row>
    <row r="1166" spans="1:9">
      <c r="A1166" s="290">
        <v>1076059</v>
      </c>
      <c r="B1166" s="289" t="s">
        <v>667</v>
      </c>
      <c r="C1166" s="289" t="s">
        <v>668</v>
      </c>
      <c r="D1166" s="289" t="s">
        <v>5116</v>
      </c>
      <c r="E1166" s="289" t="s">
        <v>5117</v>
      </c>
      <c r="F1166" s="289" t="s">
        <v>5118</v>
      </c>
      <c r="I1166" s="289" t="str">
        <f>("1076059")</f>
        <v>1076059</v>
      </c>
    </row>
    <row r="1167" spans="1:9">
      <c r="A1167" s="290">
        <v>1076257</v>
      </c>
      <c r="B1167" s="289" t="s">
        <v>667</v>
      </c>
      <c r="C1167" s="289" t="s">
        <v>668</v>
      </c>
      <c r="D1167" s="289" t="s">
        <v>5119</v>
      </c>
      <c r="E1167" s="289" t="s">
        <v>5120</v>
      </c>
      <c r="F1167" s="289" t="s">
        <v>5121</v>
      </c>
      <c r="I1167" s="289" t="str">
        <f>("1076257")</f>
        <v>1076257</v>
      </c>
    </row>
    <row r="1168" spans="1:9">
      <c r="A1168" s="290">
        <v>1076332</v>
      </c>
      <c r="B1168" s="289" t="s">
        <v>630</v>
      </c>
      <c r="C1168" s="289" t="s">
        <v>30</v>
      </c>
      <c r="D1168" s="289" t="s">
        <v>5122</v>
      </c>
      <c r="E1168" s="289" t="s">
        <v>5123</v>
      </c>
      <c r="F1168" s="289" t="s">
        <v>5124</v>
      </c>
      <c r="I1168" s="289" t="str">
        <f>("1076332")</f>
        <v>1076332</v>
      </c>
    </row>
    <row r="1169" spans="1:9">
      <c r="A1169" s="290">
        <v>1076448</v>
      </c>
      <c r="B1169" s="289" t="s">
        <v>34</v>
      </c>
      <c r="C1169" s="289" t="s">
        <v>35</v>
      </c>
      <c r="D1169" s="289" t="s">
        <v>5125</v>
      </c>
      <c r="E1169" s="289" t="s">
        <v>5126</v>
      </c>
      <c r="F1169" s="289" t="s">
        <v>5127</v>
      </c>
      <c r="I1169" s="289" t="str">
        <f>("1076448")</f>
        <v>1076448</v>
      </c>
    </row>
    <row r="1170" spans="1:9">
      <c r="A1170" s="290">
        <v>1076585</v>
      </c>
      <c r="B1170" s="289" t="s">
        <v>630</v>
      </c>
      <c r="C1170" s="289" t="s">
        <v>30</v>
      </c>
      <c r="D1170" s="289" t="s">
        <v>5130</v>
      </c>
      <c r="E1170" s="289" t="s">
        <v>5130</v>
      </c>
      <c r="F1170" s="289" t="s">
        <v>5131</v>
      </c>
      <c r="I1170" s="289" t="str">
        <f>("1076585")</f>
        <v>1076585</v>
      </c>
    </row>
    <row r="1171" spans="1:9">
      <c r="A1171" s="290">
        <v>1076646</v>
      </c>
      <c r="B1171" s="289" t="s">
        <v>630</v>
      </c>
      <c r="C1171" s="289" t="s">
        <v>30</v>
      </c>
      <c r="D1171" s="289" t="s">
        <v>5132</v>
      </c>
      <c r="E1171" s="289" t="s">
        <v>5133</v>
      </c>
      <c r="F1171" s="289" t="s">
        <v>5134</v>
      </c>
      <c r="I1171" s="289" t="str">
        <f>("1076646")</f>
        <v>1076646</v>
      </c>
    </row>
    <row r="1172" spans="1:9">
      <c r="A1172" s="290">
        <v>1076738</v>
      </c>
      <c r="B1172" s="289" t="s">
        <v>34</v>
      </c>
      <c r="C1172" s="289" t="s">
        <v>35</v>
      </c>
      <c r="D1172" s="289" t="s">
        <v>5135</v>
      </c>
      <c r="E1172" s="289" t="s">
        <v>5136</v>
      </c>
      <c r="F1172" s="289" t="s">
        <v>5137</v>
      </c>
      <c r="I1172" s="289" t="str">
        <f>("1076738")</f>
        <v>1076738</v>
      </c>
    </row>
    <row r="1173" spans="1:9">
      <c r="A1173" s="290">
        <v>1076776</v>
      </c>
      <c r="B1173" s="289" t="s">
        <v>34</v>
      </c>
      <c r="C1173" s="289" t="s">
        <v>35</v>
      </c>
      <c r="D1173" s="289" t="s">
        <v>3518</v>
      </c>
      <c r="E1173" s="289" t="s">
        <v>5138</v>
      </c>
      <c r="F1173" s="289" t="s">
        <v>5139</v>
      </c>
      <c r="I1173" s="289" t="str">
        <f>("1076776")</f>
        <v>1076776</v>
      </c>
    </row>
    <row r="1174" spans="1:9">
      <c r="A1174" s="290">
        <v>1076875</v>
      </c>
      <c r="B1174" s="289" t="s">
        <v>630</v>
      </c>
      <c r="C1174" s="289" t="s">
        <v>30</v>
      </c>
      <c r="D1174" s="289" t="s">
        <v>5140</v>
      </c>
      <c r="E1174" s="289" t="s">
        <v>5141</v>
      </c>
      <c r="F1174" s="289" t="s">
        <v>5142</v>
      </c>
      <c r="I1174" s="289" t="str">
        <f>("1076875")</f>
        <v>1076875</v>
      </c>
    </row>
    <row r="1175" spans="1:9">
      <c r="A1175" s="290">
        <v>1076943</v>
      </c>
      <c r="B1175" s="289" t="s">
        <v>34</v>
      </c>
      <c r="C1175" s="289" t="s">
        <v>35</v>
      </c>
      <c r="D1175" s="289" t="s">
        <v>5143</v>
      </c>
      <c r="E1175" s="289" t="s">
        <v>5144</v>
      </c>
      <c r="F1175" s="289" t="s">
        <v>5145</v>
      </c>
      <c r="I1175" s="289" t="str">
        <f>("1076943")</f>
        <v>1076943</v>
      </c>
    </row>
    <row r="1176" spans="1:9">
      <c r="A1176" s="290">
        <v>1077292</v>
      </c>
      <c r="B1176" s="289" t="s">
        <v>34</v>
      </c>
      <c r="C1176" s="289" t="s">
        <v>35</v>
      </c>
      <c r="D1176" s="289" t="s">
        <v>5146</v>
      </c>
      <c r="E1176" s="289" t="s">
        <v>5147</v>
      </c>
      <c r="F1176" s="289" t="s">
        <v>5148</v>
      </c>
      <c r="I1176" s="289" t="str">
        <f>("1077292")</f>
        <v>1077292</v>
      </c>
    </row>
    <row r="1177" spans="1:9">
      <c r="A1177" s="290">
        <v>1079968</v>
      </c>
      <c r="B1177" s="289" t="s">
        <v>667</v>
      </c>
      <c r="C1177" s="289" t="s">
        <v>668</v>
      </c>
      <c r="D1177" s="289" t="s">
        <v>5149</v>
      </c>
      <c r="E1177" s="289" t="s">
        <v>5150</v>
      </c>
      <c r="F1177" s="289" t="s">
        <v>5151</v>
      </c>
      <c r="I1177" s="289" t="str">
        <f>("1079968")</f>
        <v>1079968</v>
      </c>
    </row>
    <row r="1178" spans="1:9">
      <c r="A1178" s="290">
        <v>1080261</v>
      </c>
      <c r="B1178" s="289" t="s">
        <v>667</v>
      </c>
      <c r="C1178" s="289" t="s">
        <v>668</v>
      </c>
      <c r="D1178" s="289" t="s">
        <v>5156</v>
      </c>
      <c r="E1178" s="289" t="s">
        <v>5157</v>
      </c>
      <c r="F1178" s="289" t="s">
        <v>5158</v>
      </c>
      <c r="I1178" s="289" t="str">
        <f>("1080261")</f>
        <v>1080261</v>
      </c>
    </row>
    <row r="1179" spans="1:9">
      <c r="A1179" s="290">
        <v>1080346</v>
      </c>
      <c r="B1179" s="289" t="s">
        <v>667</v>
      </c>
      <c r="C1179" s="289" t="s">
        <v>668</v>
      </c>
      <c r="D1179" s="289" t="s">
        <v>5159</v>
      </c>
      <c r="E1179" s="289" t="s">
        <v>5160</v>
      </c>
      <c r="F1179" s="289" t="s">
        <v>5161</v>
      </c>
      <c r="I1179" s="289" t="str">
        <f>("1080346")</f>
        <v>1080346</v>
      </c>
    </row>
    <row r="1180" spans="1:9">
      <c r="A1180" s="290">
        <v>1080759</v>
      </c>
      <c r="B1180" s="289" t="s">
        <v>667</v>
      </c>
      <c r="C1180" s="289" t="s">
        <v>668</v>
      </c>
      <c r="D1180" s="289" t="s">
        <v>5168</v>
      </c>
      <c r="E1180" s="289" t="s">
        <v>5168</v>
      </c>
      <c r="F1180" s="289" t="s">
        <v>5169</v>
      </c>
      <c r="I1180" s="289" t="str">
        <f>("1080759")</f>
        <v>1080759</v>
      </c>
    </row>
    <row r="1181" spans="1:9">
      <c r="A1181" s="290">
        <v>1081473</v>
      </c>
      <c r="B1181" s="289" t="s">
        <v>3117</v>
      </c>
      <c r="C1181" s="289" t="s">
        <v>668</v>
      </c>
      <c r="D1181" s="289" t="s">
        <v>5313</v>
      </c>
      <c r="E1181" s="289" t="s">
        <v>5314</v>
      </c>
      <c r="F1181" s="289" t="s">
        <v>5315</v>
      </c>
      <c r="I1181" s="289" t="str">
        <f>("1081473")</f>
        <v>1081473</v>
      </c>
    </row>
    <row r="1182" spans="1:9">
      <c r="A1182" s="290">
        <v>1081848</v>
      </c>
      <c r="B1182" s="289" t="s">
        <v>3117</v>
      </c>
      <c r="C1182" s="289" t="s">
        <v>668</v>
      </c>
      <c r="D1182" s="289" t="s">
        <v>5316</v>
      </c>
      <c r="E1182" s="289" t="s">
        <v>5317</v>
      </c>
      <c r="F1182" s="289" t="s">
        <v>5318</v>
      </c>
      <c r="I1182" s="289" t="str">
        <f>("1081848")</f>
        <v>1081848</v>
      </c>
    </row>
    <row r="1183" spans="1:9">
      <c r="A1183" s="290">
        <v>1082142</v>
      </c>
      <c r="B1183" s="289" t="s">
        <v>1537</v>
      </c>
      <c r="C1183" s="289" t="s">
        <v>1539</v>
      </c>
      <c r="D1183" s="289" t="s">
        <v>5319</v>
      </c>
      <c r="E1183" s="289" t="s">
        <v>5320</v>
      </c>
      <c r="F1183" s="289" t="s">
        <v>5321</v>
      </c>
      <c r="I1183" s="289" t="str">
        <f>("1082142")</f>
        <v>1082142</v>
      </c>
    </row>
    <row r="1184" spans="1:9">
      <c r="A1184" s="290">
        <v>1082203</v>
      </c>
      <c r="B1184" s="289" t="s">
        <v>1537</v>
      </c>
      <c r="C1184" s="289" t="s">
        <v>1574</v>
      </c>
      <c r="D1184" s="289" t="s">
        <v>5322</v>
      </c>
      <c r="E1184" s="289" t="s">
        <v>5323</v>
      </c>
      <c r="F1184" s="289" t="s">
        <v>5324</v>
      </c>
      <c r="I1184" s="289" t="str">
        <f>("1082203")</f>
        <v>1082203</v>
      </c>
    </row>
    <row r="1185" spans="1:9">
      <c r="A1185" s="290">
        <v>1082227</v>
      </c>
      <c r="B1185" s="289" t="s">
        <v>1537</v>
      </c>
      <c r="C1185" s="289" t="s">
        <v>1574</v>
      </c>
      <c r="D1185" s="289" t="s">
        <v>5325</v>
      </c>
      <c r="E1185" s="289" t="s">
        <v>5326</v>
      </c>
      <c r="F1185" s="289" t="s">
        <v>5327</v>
      </c>
      <c r="I1185" s="289" t="str">
        <f>("1082227")</f>
        <v>1082227</v>
      </c>
    </row>
    <row r="1186" spans="1:9">
      <c r="A1186" s="290">
        <v>1082500</v>
      </c>
      <c r="B1186" s="289" t="s">
        <v>667</v>
      </c>
      <c r="C1186" s="289" t="s">
        <v>668</v>
      </c>
      <c r="D1186" s="289" t="s">
        <v>5328</v>
      </c>
      <c r="E1186" s="289" t="s">
        <v>5329</v>
      </c>
      <c r="F1186" s="289" t="s">
        <v>5330</v>
      </c>
      <c r="I1186" s="289" t="str">
        <f>("1082500")</f>
        <v>1082500</v>
      </c>
    </row>
    <row r="1187" spans="1:9">
      <c r="A1187" s="290">
        <v>1082517</v>
      </c>
      <c r="B1187" s="289" t="s">
        <v>667</v>
      </c>
      <c r="C1187" s="289" t="s">
        <v>668</v>
      </c>
      <c r="D1187" s="289" t="s">
        <v>5331</v>
      </c>
      <c r="E1187" s="289" t="s">
        <v>5332</v>
      </c>
      <c r="F1187" s="289" t="s">
        <v>5333</v>
      </c>
      <c r="I1187" s="289" t="str">
        <f>("1082517")</f>
        <v>1082517</v>
      </c>
    </row>
    <row r="1188" spans="1:9">
      <c r="A1188" s="290">
        <v>1082531</v>
      </c>
      <c r="B1188" s="289" t="s">
        <v>667</v>
      </c>
      <c r="C1188" s="289" t="s">
        <v>668</v>
      </c>
      <c r="D1188" s="289" t="s">
        <v>5334</v>
      </c>
      <c r="E1188" s="289" t="s">
        <v>5335</v>
      </c>
      <c r="F1188" s="289" t="s">
        <v>5336</v>
      </c>
      <c r="I1188" s="289" t="str">
        <f>("1082531")</f>
        <v>1082531</v>
      </c>
    </row>
    <row r="1189" spans="1:9">
      <c r="A1189" s="290">
        <v>1082548</v>
      </c>
      <c r="B1189" s="289" t="s">
        <v>667</v>
      </c>
      <c r="C1189" s="289" t="s">
        <v>668</v>
      </c>
      <c r="D1189" s="289" t="s">
        <v>5337</v>
      </c>
      <c r="E1189" s="289" t="s">
        <v>5338</v>
      </c>
      <c r="F1189" s="289" t="s">
        <v>5339</v>
      </c>
      <c r="I1189" s="289" t="str">
        <f>("1082548")</f>
        <v>1082548</v>
      </c>
    </row>
    <row r="1190" spans="1:9">
      <c r="A1190" s="290">
        <v>1082784</v>
      </c>
      <c r="B1190" s="289" t="s">
        <v>34</v>
      </c>
      <c r="C1190" s="289" t="s">
        <v>35</v>
      </c>
      <c r="D1190" s="289" t="s">
        <v>5340</v>
      </c>
      <c r="E1190" s="289" t="s">
        <v>5341</v>
      </c>
      <c r="F1190" s="289" t="s">
        <v>5342</v>
      </c>
      <c r="I1190" s="289" t="str">
        <f>("1082784")</f>
        <v>1082784</v>
      </c>
    </row>
    <row r="1191" spans="1:9">
      <c r="A1191" s="290">
        <v>1082807</v>
      </c>
      <c r="B1191" s="289" t="s">
        <v>667</v>
      </c>
      <c r="C1191" s="289" t="s">
        <v>668</v>
      </c>
      <c r="D1191" s="289" t="s">
        <v>5343</v>
      </c>
      <c r="E1191" s="289" t="s">
        <v>5344</v>
      </c>
      <c r="F1191" s="289" t="s">
        <v>5345</v>
      </c>
      <c r="I1191" s="289" t="str">
        <f>("1082807")</f>
        <v>1082807</v>
      </c>
    </row>
    <row r="1192" spans="1:9">
      <c r="A1192" s="290">
        <v>1082845</v>
      </c>
      <c r="B1192" s="289" t="s">
        <v>34</v>
      </c>
      <c r="C1192" s="289" t="s">
        <v>35</v>
      </c>
      <c r="D1192" s="289" t="s">
        <v>5346</v>
      </c>
      <c r="E1192" s="289" t="s">
        <v>5347</v>
      </c>
      <c r="F1192" s="289" t="s">
        <v>5348</v>
      </c>
      <c r="I1192" s="289" t="str">
        <f>("1082845")</f>
        <v>1082845</v>
      </c>
    </row>
    <row r="1193" spans="1:9">
      <c r="A1193" s="290">
        <v>1082906</v>
      </c>
      <c r="B1193" s="289" t="s">
        <v>34</v>
      </c>
      <c r="C1193" s="289" t="s">
        <v>35</v>
      </c>
      <c r="D1193" s="289" t="s">
        <v>5349</v>
      </c>
      <c r="E1193" s="289" t="s">
        <v>5350</v>
      </c>
      <c r="F1193" s="289" t="s">
        <v>5351</v>
      </c>
      <c r="I1193" s="289" t="str">
        <f>("1082906")</f>
        <v>1082906</v>
      </c>
    </row>
    <row r="1194" spans="1:9">
      <c r="A1194" s="290">
        <v>1082937</v>
      </c>
      <c r="B1194" s="289" t="s">
        <v>667</v>
      </c>
      <c r="C1194" s="289" t="s">
        <v>668</v>
      </c>
      <c r="D1194" s="289" t="s">
        <v>5352</v>
      </c>
      <c r="E1194" s="289" t="s">
        <v>5353</v>
      </c>
      <c r="F1194" s="289" t="s">
        <v>5354</v>
      </c>
      <c r="I1194" s="289" t="str">
        <f>("1082937")</f>
        <v>1082937</v>
      </c>
    </row>
    <row r="1195" spans="1:9">
      <c r="A1195" s="290">
        <v>1082951</v>
      </c>
      <c r="B1195" s="289" t="s">
        <v>34</v>
      </c>
      <c r="C1195" s="289" t="s">
        <v>35</v>
      </c>
      <c r="D1195" s="289" t="s">
        <v>5355</v>
      </c>
      <c r="E1195" s="289" t="s">
        <v>5356</v>
      </c>
      <c r="F1195" s="289" t="s">
        <v>5357</v>
      </c>
      <c r="I1195" s="289" t="str">
        <f>("1082951")</f>
        <v>1082951</v>
      </c>
    </row>
    <row r="1196" spans="1:9">
      <c r="A1196" s="290">
        <v>1083026</v>
      </c>
      <c r="B1196" s="289" t="s">
        <v>34</v>
      </c>
      <c r="C1196" s="289" t="s">
        <v>35</v>
      </c>
      <c r="D1196" s="289" t="s">
        <v>5358</v>
      </c>
      <c r="E1196" s="289" t="s">
        <v>5359</v>
      </c>
      <c r="F1196" s="289" t="s">
        <v>5360</v>
      </c>
      <c r="I1196" s="289" t="str">
        <f>("1083026")</f>
        <v>1083026</v>
      </c>
    </row>
    <row r="1197" spans="1:9">
      <c r="A1197" s="290">
        <v>1083057</v>
      </c>
      <c r="B1197" s="289" t="s">
        <v>34</v>
      </c>
      <c r="C1197" s="289" t="s">
        <v>35</v>
      </c>
      <c r="D1197" s="289" t="s">
        <v>5361</v>
      </c>
      <c r="E1197" s="289" t="s">
        <v>5362</v>
      </c>
      <c r="F1197" s="289" t="s">
        <v>5363</v>
      </c>
      <c r="I1197" s="289" t="str">
        <f>("1083057")</f>
        <v>1083057</v>
      </c>
    </row>
    <row r="1198" spans="1:9">
      <c r="A1198" s="290">
        <v>1083064</v>
      </c>
      <c r="B1198" s="289" t="s">
        <v>34</v>
      </c>
      <c r="C1198" s="289" t="s">
        <v>35</v>
      </c>
      <c r="D1198" s="289" t="s">
        <v>5364</v>
      </c>
      <c r="E1198" s="289" t="s">
        <v>5365</v>
      </c>
      <c r="F1198" s="289" t="s">
        <v>5366</v>
      </c>
      <c r="I1198" s="289" t="str">
        <f>("1083064")</f>
        <v>1083064</v>
      </c>
    </row>
    <row r="1199" spans="1:9">
      <c r="A1199" s="290">
        <v>1083071</v>
      </c>
      <c r="B1199" s="289" t="s">
        <v>34</v>
      </c>
      <c r="C1199" s="289" t="s">
        <v>35</v>
      </c>
      <c r="D1199" s="289" t="s">
        <v>5367</v>
      </c>
      <c r="E1199" s="289" t="s">
        <v>5368</v>
      </c>
      <c r="F1199" s="289" t="s">
        <v>5369</v>
      </c>
      <c r="I1199" s="289" t="str">
        <f>("1083071")</f>
        <v>1083071</v>
      </c>
    </row>
    <row r="1200" spans="1:9">
      <c r="A1200" s="290">
        <v>1083101</v>
      </c>
      <c r="B1200" s="289" t="s">
        <v>667</v>
      </c>
      <c r="C1200" s="289" t="s">
        <v>668</v>
      </c>
      <c r="D1200" s="289" t="s">
        <v>5370</v>
      </c>
      <c r="E1200" s="289" t="s">
        <v>5371</v>
      </c>
      <c r="F1200" s="289" t="s">
        <v>5372</v>
      </c>
      <c r="I1200" s="289" t="str">
        <f>("1083101")</f>
        <v>1083101</v>
      </c>
    </row>
    <row r="1201" spans="1:9">
      <c r="A1201" s="290">
        <v>1083125</v>
      </c>
      <c r="B1201" s="289" t="s">
        <v>34</v>
      </c>
      <c r="C1201" s="289" t="s">
        <v>35</v>
      </c>
      <c r="D1201" s="289" t="s">
        <v>5128</v>
      </c>
      <c r="E1201" s="289" t="s">
        <v>5128</v>
      </c>
      <c r="F1201" s="289" t="s">
        <v>5129</v>
      </c>
      <c r="I1201" s="289" t="str">
        <f>("1083125")</f>
        <v>1083125</v>
      </c>
    </row>
    <row r="1202" spans="1:9">
      <c r="A1202" s="290">
        <v>1083200</v>
      </c>
      <c r="B1202" s="289" t="s">
        <v>630</v>
      </c>
      <c r="C1202" s="289" t="s">
        <v>30</v>
      </c>
      <c r="D1202" s="289" t="s">
        <v>5373</v>
      </c>
      <c r="E1202" s="289" t="s">
        <v>5374</v>
      </c>
      <c r="F1202" s="289" t="s">
        <v>5375</v>
      </c>
      <c r="I1202" s="289" t="str">
        <f>("1083200")</f>
        <v>1083200</v>
      </c>
    </row>
    <row r="1203" spans="1:9">
      <c r="A1203" s="290">
        <v>1083316</v>
      </c>
      <c r="B1203" s="289" t="s">
        <v>630</v>
      </c>
      <c r="C1203" s="289" t="s">
        <v>30</v>
      </c>
      <c r="D1203" s="289" t="s">
        <v>5376</v>
      </c>
      <c r="E1203" s="289" t="s">
        <v>5377</v>
      </c>
      <c r="F1203" s="289" t="s">
        <v>5378</v>
      </c>
      <c r="I1203" s="289" t="str">
        <f>("1083316")</f>
        <v>1083316</v>
      </c>
    </row>
    <row r="1204" spans="1:9">
      <c r="A1204" s="290">
        <v>1083378</v>
      </c>
      <c r="B1204" s="289" t="s">
        <v>630</v>
      </c>
      <c r="C1204" s="289" t="s">
        <v>30</v>
      </c>
      <c r="D1204" s="289" t="s">
        <v>5379</v>
      </c>
      <c r="E1204" s="289" t="s">
        <v>5380</v>
      </c>
      <c r="F1204" s="289" t="s">
        <v>5381</v>
      </c>
      <c r="I1204" s="289" t="str">
        <f>("1083378")</f>
        <v>1083378</v>
      </c>
    </row>
    <row r="1205" spans="1:9">
      <c r="A1205" s="290">
        <v>1083484</v>
      </c>
      <c r="B1205" s="289" t="s">
        <v>667</v>
      </c>
      <c r="C1205" s="289" t="s">
        <v>668</v>
      </c>
      <c r="D1205" s="289" t="s">
        <v>5382</v>
      </c>
      <c r="E1205" s="289" t="s">
        <v>5383</v>
      </c>
      <c r="F1205" s="289" t="s">
        <v>5384</v>
      </c>
      <c r="I1205" s="289" t="str">
        <f>("1083484")</f>
        <v>1083484</v>
      </c>
    </row>
    <row r="1206" spans="1:9">
      <c r="A1206" s="290">
        <v>1083583</v>
      </c>
      <c r="B1206" s="289" t="s">
        <v>630</v>
      </c>
      <c r="C1206" s="289" t="s">
        <v>30</v>
      </c>
      <c r="D1206" s="289" t="s">
        <v>5385</v>
      </c>
      <c r="E1206" s="289" t="s">
        <v>5386</v>
      </c>
      <c r="F1206" s="289" t="s">
        <v>5387</v>
      </c>
      <c r="I1206" s="289" t="str">
        <f>("1083583")</f>
        <v>1083583</v>
      </c>
    </row>
    <row r="1207" spans="1:9">
      <c r="A1207" s="290">
        <v>1083620</v>
      </c>
      <c r="B1207" s="289" t="s">
        <v>34</v>
      </c>
      <c r="C1207" s="289" t="s">
        <v>35</v>
      </c>
      <c r="D1207" s="289" t="s">
        <v>5388</v>
      </c>
      <c r="E1207" s="289" t="s">
        <v>5389</v>
      </c>
      <c r="F1207" s="289" t="s">
        <v>5390</v>
      </c>
      <c r="I1207" s="289" t="str">
        <f>("1083620")</f>
        <v>1083620</v>
      </c>
    </row>
    <row r="1208" spans="1:9">
      <c r="A1208" s="290">
        <v>1083798</v>
      </c>
      <c r="B1208" s="289" t="s">
        <v>34</v>
      </c>
      <c r="C1208" s="289" t="s">
        <v>35</v>
      </c>
      <c r="D1208" s="289" t="s">
        <v>5391</v>
      </c>
      <c r="E1208" s="289" t="s">
        <v>5392</v>
      </c>
      <c r="F1208" s="289" t="s">
        <v>5393</v>
      </c>
      <c r="I1208" s="289" t="str">
        <f>("1083798")</f>
        <v>1083798</v>
      </c>
    </row>
    <row r="1209" spans="1:9">
      <c r="A1209" s="290">
        <v>1083828</v>
      </c>
      <c r="B1209" s="289" t="s">
        <v>34</v>
      </c>
      <c r="C1209" s="289" t="s">
        <v>35</v>
      </c>
      <c r="D1209" s="289" t="s">
        <v>5394</v>
      </c>
      <c r="E1209" s="289" t="s">
        <v>5395</v>
      </c>
      <c r="F1209" s="289" t="s">
        <v>5396</v>
      </c>
      <c r="I1209" s="289" t="str">
        <f>("1083828")</f>
        <v>1083828</v>
      </c>
    </row>
    <row r="1210" spans="1:9">
      <c r="A1210" s="290">
        <v>1083897</v>
      </c>
      <c r="B1210" s="289" t="s">
        <v>34</v>
      </c>
      <c r="C1210" s="289" t="s">
        <v>35</v>
      </c>
      <c r="D1210" s="289" t="s">
        <v>5397</v>
      </c>
      <c r="E1210" s="289" t="s">
        <v>5398</v>
      </c>
      <c r="F1210" s="289" t="s">
        <v>5399</v>
      </c>
      <c r="I1210" s="289" t="str">
        <f>("1083897")</f>
        <v>1083897</v>
      </c>
    </row>
    <row r="1211" spans="1:9">
      <c r="A1211" s="290">
        <v>1084085</v>
      </c>
      <c r="B1211" s="289" t="s">
        <v>667</v>
      </c>
      <c r="C1211" s="289" t="s">
        <v>668</v>
      </c>
      <c r="D1211" s="289" t="s">
        <v>5400</v>
      </c>
      <c r="E1211" s="289" t="s">
        <v>5401</v>
      </c>
      <c r="F1211" s="289" t="s">
        <v>5402</v>
      </c>
      <c r="I1211" s="289" t="str">
        <f>("1084085")</f>
        <v>1084085</v>
      </c>
    </row>
    <row r="1212" spans="1:9">
      <c r="A1212" s="289" t="s">
        <v>4355</v>
      </c>
      <c r="B1212" s="289" t="s">
        <v>34</v>
      </c>
      <c r="C1212" s="289" t="s">
        <v>4356</v>
      </c>
      <c r="D1212" s="289" t="s">
        <v>4357</v>
      </c>
      <c r="E1212" s="289" t="s">
        <v>4358</v>
      </c>
      <c r="F1212" s="289" t="s">
        <v>4359</v>
      </c>
      <c r="I1212" s="289" t="str">
        <f>("F000068")</f>
        <v>F000068</v>
      </c>
    </row>
    <row r="1213" spans="1:9">
      <c r="A1213" s="289" t="s">
        <v>4360</v>
      </c>
      <c r="B1213" s="289" t="s">
        <v>34</v>
      </c>
      <c r="C1213" s="289" t="s">
        <v>4356</v>
      </c>
      <c r="D1213" s="289" t="s">
        <v>4361</v>
      </c>
      <c r="E1213" s="289" t="s">
        <v>4362</v>
      </c>
      <c r="F1213" s="289" t="s">
        <v>4363</v>
      </c>
      <c r="I1213" s="289" t="str">
        <f>("F000077")</f>
        <v>F000077</v>
      </c>
    </row>
    <row r="1214" spans="1:9">
      <c r="A1214" s="289" t="s">
        <v>4364</v>
      </c>
      <c r="B1214" s="289" t="s">
        <v>34</v>
      </c>
      <c r="C1214" s="289" t="s">
        <v>4356</v>
      </c>
      <c r="D1214" s="289" t="s">
        <v>4365</v>
      </c>
      <c r="E1214" s="289" t="s">
        <v>4365</v>
      </c>
      <c r="F1214" s="289" t="s">
        <v>4366</v>
      </c>
      <c r="I1214" s="289" t="str">
        <f>("F000089")</f>
        <v>F000089</v>
      </c>
    </row>
    <row r="1215" spans="1:9">
      <c r="A1215" s="289" t="s">
        <v>4367</v>
      </c>
      <c r="B1215" s="289" t="s">
        <v>34</v>
      </c>
      <c r="C1215" s="289" t="s">
        <v>4356</v>
      </c>
      <c r="D1215" s="289" t="s">
        <v>4368</v>
      </c>
      <c r="E1215" s="289" t="s">
        <v>4368</v>
      </c>
      <c r="F1215" s="289" t="s">
        <v>4369</v>
      </c>
      <c r="I1215" s="289" t="str">
        <f>("F000101")</f>
        <v>F000101</v>
      </c>
    </row>
    <row r="1216" spans="1:9">
      <c r="A1216" s="289" t="s">
        <v>4370</v>
      </c>
      <c r="B1216" s="289" t="s">
        <v>34</v>
      </c>
      <c r="C1216" s="289" t="s">
        <v>4356</v>
      </c>
      <c r="D1216" s="289" t="s">
        <v>4174</v>
      </c>
      <c r="E1216" s="289" t="s">
        <v>4427</v>
      </c>
      <c r="F1216" s="289" t="s">
        <v>4176</v>
      </c>
      <c r="I1216" s="289" t="str">
        <f>("F000104")</f>
        <v>F000104</v>
      </c>
    </row>
    <row r="1217" spans="1:9">
      <c r="A1217" s="289" t="s">
        <v>4371</v>
      </c>
      <c r="B1217" s="289" t="s">
        <v>34</v>
      </c>
      <c r="C1217" s="289" t="s">
        <v>4356</v>
      </c>
      <c r="D1217" s="289" t="s">
        <v>4372</v>
      </c>
      <c r="E1217" s="289" t="s">
        <v>4372</v>
      </c>
      <c r="F1217" s="289" t="s">
        <v>4373</v>
      </c>
      <c r="I1217" s="289" t="str">
        <f>("F000106")</f>
        <v>F000106</v>
      </c>
    </row>
    <row r="1218" spans="1:9">
      <c r="A1218" s="289" t="s">
        <v>4374</v>
      </c>
      <c r="B1218" s="289" t="s">
        <v>34</v>
      </c>
      <c r="C1218" s="289" t="s">
        <v>4356</v>
      </c>
      <c r="D1218" s="289" t="s">
        <v>4375</v>
      </c>
      <c r="E1218" s="289" t="s">
        <v>4376</v>
      </c>
      <c r="F1218" s="289" t="s">
        <v>4377</v>
      </c>
      <c r="I1218" s="289" t="str">
        <f>("F000427")</f>
        <v>F000427</v>
      </c>
    </row>
    <row r="1219" spans="1:9">
      <c r="A1219" s="289" t="s">
        <v>4378</v>
      </c>
      <c r="B1219" s="289" t="s">
        <v>34</v>
      </c>
      <c r="C1219" s="289" t="s">
        <v>4356</v>
      </c>
      <c r="D1219" s="289" t="s">
        <v>4379</v>
      </c>
      <c r="E1219" s="289" t="s">
        <v>4380</v>
      </c>
      <c r="F1219" s="289" t="s">
        <v>4381</v>
      </c>
      <c r="I1219" s="289" t="str">
        <f>("F000631")</f>
        <v>F000631</v>
      </c>
    </row>
    <row r="1220" spans="1:9">
      <c r="A1220" s="289" t="s">
        <v>4382</v>
      </c>
      <c r="B1220" s="289" t="s">
        <v>34</v>
      </c>
      <c r="C1220" s="289" t="s">
        <v>4356</v>
      </c>
      <c r="D1220" s="289" t="s">
        <v>4383</v>
      </c>
      <c r="E1220" s="289" t="s">
        <v>4383</v>
      </c>
      <c r="F1220" s="289" t="s">
        <v>4384</v>
      </c>
      <c r="I1220" s="289" t="str">
        <f>("F000860")</f>
        <v>F000860</v>
      </c>
    </row>
    <row r="1221" spans="1:9">
      <c r="A1221" s="289" t="s">
        <v>4385</v>
      </c>
      <c r="B1221" s="289" t="s">
        <v>34</v>
      </c>
      <c r="C1221" s="289" t="s">
        <v>4356</v>
      </c>
      <c r="D1221" s="289" t="s">
        <v>5170</v>
      </c>
      <c r="E1221" s="289" t="s">
        <v>4386</v>
      </c>
      <c r="F1221" s="289" t="s">
        <v>4387</v>
      </c>
      <c r="I1221" s="289" t="str">
        <f>("F000929")</f>
        <v>F000929</v>
      </c>
    </row>
    <row r="1222" spans="1:9">
      <c r="A1222" s="289" t="s">
        <v>4388</v>
      </c>
      <c r="B1222" s="289" t="s">
        <v>34</v>
      </c>
      <c r="C1222" s="289" t="s">
        <v>4356</v>
      </c>
      <c r="D1222" s="289" t="s">
        <v>4389</v>
      </c>
      <c r="E1222" s="289" t="s">
        <v>4390</v>
      </c>
      <c r="F1222" s="289" t="s">
        <v>4391</v>
      </c>
      <c r="I1222" s="289" t="str">
        <f>("F000997")</f>
        <v>F000997</v>
      </c>
    </row>
    <row r="1223" spans="1:9">
      <c r="A1223" s="289" t="s">
        <v>4392</v>
      </c>
      <c r="B1223" s="289" t="s">
        <v>34</v>
      </c>
      <c r="C1223" s="289" t="s">
        <v>4356</v>
      </c>
      <c r="D1223" s="289" t="s">
        <v>5403</v>
      </c>
      <c r="E1223" s="289" t="s">
        <v>5404</v>
      </c>
      <c r="F1223" s="289" t="s">
        <v>5405</v>
      </c>
      <c r="I1223" s="289" t="str">
        <f>("F001125")</f>
        <v>F001125</v>
      </c>
    </row>
    <row r="1224" spans="1:9">
      <c r="A1224" s="289" t="s">
        <v>4393</v>
      </c>
      <c r="B1224" s="289" t="s">
        <v>34</v>
      </c>
      <c r="C1224" s="289" t="s">
        <v>4356</v>
      </c>
      <c r="D1224" s="289" t="s">
        <v>4394</v>
      </c>
      <c r="E1224" s="289" t="s">
        <v>4395</v>
      </c>
      <c r="F1224" s="289" t="s">
        <v>4396</v>
      </c>
      <c r="I1224" s="289" t="str">
        <f>("F001176")</f>
        <v>F001176</v>
      </c>
    </row>
    <row r="1225" spans="1:9">
      <c r="A1225" s="289" t="s">
        <v>4397</v>
      </c>
      <c r="B1225" s="289" t="s">
        <v>34</v>
      </c>
      <c r="C1225" s="289" t="s">
        <v>4356</v>
      </c>
      <c r="D1225" s="289" t="s">
        <v>4398</v>
      </c>
      <c r="E1225" s="289" t="s">
        <v>4399</v>
      </c>
      <c r="F1225" s="289" t="s">
        <v>4400</v>
      </c>
      <c r="I1225" s="289" t="str">
        <f>("F001212")</f>
        <v>F001212</v>
      </c>
    </row>
    <row r="1226" spans="1:9">
      <c r="A1226" s="289" t="s">
        <v>4401</v>
      </c>
      <c r="B1226" s="289" t="s">
        <v>34</v>
      </c>
      <c r="C1226" s="289" t="s">
        <v>4356</v>
      </c>
      <c r="D1226" s="289" t="s">
        <v>4825</v>
      </c>
      <c r="E1226" s="289" t="s">
        <v>4826</v>
      </c>
      <c r="F1226" s="289" t="s">
        <v>4827</v>
      </c>
      <c r="I1226" s="289" t="str">
        <f>("F001256")</f>
        <v>F001256</v>
      </c>
    </row>
    <row r="1227" spans="1:9">
      <c r="A1227" s="289" t="s">
        <v>4402</v>
      </c>
      <c r="B1227" s="289" t="s">
        <v>34</v>
      </c>
      <c r="C1227" s="289" t="s">
        <v>4356</v>
      </c>
      <c r="D1227" s="289" t="s">
        <v>4403</v>
      </c>
      <c r="E1227" s="289" t="s">
        <v>4404</v>
      </c>
      <c r="F1227" s="289" t="s">
        <v>4405</v>
      </c>
      <c r="I1227" s="289" t="str">
        <f>("F001906")</f>
        <v>F001906</v>
      </c>
    </row>
    <row r="1228" spans="1:9">
      <c r="A1228" s="289" t="s">
        <v>4406</v>
      </c>
      <c r="B1228" s="289" t="s">
        <v>34</v>
      </c>
      <c r="C1228" s="289" t="s">
        <v>4356</v>
      </c>
      <c r="D1228" s="289" t="s">
        <v>5171</v>
      </c>
      <c r="E1228" s="289" t="s">
        <v>5172</v>
      </c>
      <c r="F1228" s="289" t="s">
        <v>5173</v>
      </c>
      <c r="I1228" s="289" t="str">
        <f>("F001980")</f>
        <v>F001980</v>
      </c>
    </row>
    <row r="1229" spans="1:9">
      <c r="A1229" s="289" t="s">
        <v>4407</v>
      </c>
      <c r="B1229" s="289" t="s">
        <v>34</v>
      </c>
      <c r="C1229" s="289" t="s">
        <v>4356</v>
      </c>
      <c r="D1229" s="289" t="s">
        <v>5174</v>
      </c>
      <c r="E1229" s="289" t="s">
        <v>5175</v>
      </c>
      <c r="F1229" s="289" t="s">
        <v>5176</v>
      </c>
      <c r="I1229" s="289" t="str">
        <f>("F001985")</f>
        <v>F001985</v>
      </c>
    </row>
    <row r="1230" spans="1:9">
      <c r="A1230" s="289" t="s">
        <v>4408</v>
      </c>
      <c r="B1230" s="289" t="s">
        <v>34</v>
      </c>
      <c r="C1230" s="289" t="s">
        <v>4356</v>
      </c>
      <c r="D1230" s="289" t="s">
        <v>4409</v>
      </c>
      <c r="E1230" s="289" t="s">
        <v>4410</v>
      </c>
      <c r="F1230" s="289" t="s">
        <v>4411</v>
      </c>
      <c r="I1230" s="289" t="str">
        <f>("F001986")</f>
        <v>F001986</v>
      </c>
    </row>
    <row r="1231" spans="1:9">
      <c r="A1231" s="289" t="s">
        <v>4412</v>
      </c>
      <c r="B1231" s="289" t="s">
        <v>34</v>
      </c>
      <c r="C1231" s="289" t="s">
        <v>4356</v>
      </c>
      <c r="D1231" s="289" t="s">
        <v>4413</v>
      </c>
      <c r="E1231" s="289" t="s">
        <v>4414</v>
      </c>
      <c r="F1231" s="289" t="s">
        <v>4415</v>
      </c>
      <c r="I1231" s="289" t="str">
        <f>("F004596")</f>
        <v>F004596</v>
      </c>
    </row>
    <row r="1232" spans="1:9">
      <c r="A1232" s="289" t="s">
        <v>4416</v>
      </c>
      <c r="B1232" s="289" t="s">
        <v>34</v>
      </c>
      <c r="C1232" s="289" t="s">
        <v>4356</v>
      </c>
      <c r="D1232" s="289" t="s">
        <v>4417</v>
      </c>
      <c r="E1232" s="289" t="s">
        <v>4417</v>
      </c>
      <c r="F1232" s="289" t="s">
        <v>4418</v>
      </c>
      <c r="I1232" s="289" t="str">
        <f>("F005388")</f>
        <v>F005388</v>
      </c>
    </row>
    <row r="1233" spans="1:9">
      <c r="A1233" s="289" t="s">
        <v>4419</v>
      </c>
      <c r="B1233" s="289" t="s">
        <v>34</v>
      </c>
      <c r="C1233" s="289" t="s">
        <v>4356</v>
      </c>
      <c r="D1233" s="289" t="s">
        <v>4420</v>
      </c>
      <c r="E1233" s="289" t="s">
        <v>4421</v>
      </c>
      <c r="F1233" s="289" t="s">
        <v>4422</v>
      </c>
      <c r="I1233" s="289" t="str">
        <f>("F005715")</f>
        <v>F005715</v>
      </c>
    </row>
    <row r="1234" spans="1:9">
      <c r="A1234" s="289" t="s">
        <v>4423</v>
      </c>
      <c r="B1234" s="289" t="s">
        <v>34</v>
      </c>
      <c r="C1234" s="289" t="s">
        <v>4356</v>
      </c>
      <c r="D1234" s="289" t="s">
        <v>4424</v>
      </c>
      <c r="E1234" s="289" t="s">
        <v>4425</v>
      </c>
      <c r="F1234" s="289" t="s">
        <v>4426</v>
      </c>
      <c r="I1234" s="289" t="str">
        <f>("F006521")</f>
        <v>F006521</v>
      </c>
    </row>
    <row r="1235" spans="1:9">
      <c r="A1235" s="289" t="s">
        <v>4428</v>
      </c>
      <c r="B1235" s="289" t="s">
        <v>34</v>
      </c>
      <c r="C1235" s="289" t="s">
        <v>4356</v>
      </c>
      <c r="D1235" s="289" t="s">
        <v>4429</v>
      </c>
      <c r="E1235" s="289" t="s">
        <v>4430</v>
      </c>
      <c r="F1235" s="289" t="s">
        <v>4431</v>
      </c>
      <c r="I1235" s="289" t="str">
        <f>("F010702")</f>
        <v>F010702</v>
      </c>
    </row>
    <row r="1236" spans="1:9">
      <c r="A1236" s="289" t="s">
        <v>4432</v>
      </c>
      <c r="B1236" s="289" t="s">
        <v>34</v>
      </c>
      <c r="C1236" s="289" t="s">
        <v>4356</v>
      </c>
      <c r="D1236" s="289" t="s">
        <v>4433</v>
      </c>
      <c r="E1236" s="289" t="s">
        <v>4433</v>
      </c>
      <c r="F1236" s="289" t="s">
        <v>4434</v>
      </c>
      <c r="I1236" s="289" t="str">
        <f>("F010917")</f>
        <v>F010917</v>
      </c>
    </row>
    <row r="1237" spans="1:9">
      <c r="A1237" s="289" t="s">
        <v>5180</v>
      </c>
      <c r="B1237" s="289" t="s">
        <v>29</v>
      </c>
      <c r="C1237" s="289" t="s">
        <v>4356</v>
      </c>
      <c r="D1237" s="289" t="s">
        <v>5177</v>
      </c>
      <c r="E1237" s="289" t="s">
        <v>5178</v>
      </c>
      <c r="F1237" s="289" t="s">
        <v>5179</v>
      </c>
      <c r="I1237" s="289" t="str">
        <f>("F014304")</f>
        <v>F014304</v>
      </c>
    </row>
    <row r="1238" spans="1:9">
      <c r="A1238" s="289" t="s">
        <v>4435</v>
      </c>
      <c r="B1238" s="289" t="s">
        <v>34</v>
      </c>
      <c r="C1238" s="289" t="s">
        <v>4356</v>
      </c>
      <c r="D1238" s="289" t="s">
        <v>4436</v>
      </c>
      <c r="E1238" s="289" t="s">
        <v>4437</v>
      </c>
      <c r="F1238" s="289" t="s">
        <v>4438</v>
      </c>
      <c r="I1238" s="289" t="str">
        <f>("F016186")</f>
        <v>F016186</v>
      </c>
    </row>
    <row r="1239" spans="1:9">
      <c r="A1239" s="289" t="s">
        <v>4439</v>
      </c>
      <c r="B1239" s="289" t="s">
        <v>34</v>
      </c>
      <c r="C1239" s="289" t="s">
        <v>4356</v>
      </c>
      <c r="D1239" s="289" t="s">
        <v>4440</v>
      </c>
      <c r="E1239" s="289" t="s">
        <v>4441</v>
      </c>
      <c r="F1239" s="289" t="s">
        <v>4442</v>
      </c>
      <c r="I1239" s="289" t="str">
        <f>("F016230")</f>
        <v>F016230</v>
      </c>
    </row>
    <row r="1240" spans="1:9">
      <c r="A1240" s="289" t="s">
        <v>4443</v>
      </c>
      <c r="B1240" s="289" t="s">
        <v>34</v>
      </c>
      <c r="C1240" s="289" t="s">
        <v>4356</v>
      </c>
      <c r="D1240" s="289" t="s">
        <v>5406</v>
      </c>
      <c r="E1240" s="289" t="s">
        <v>5407</v>
      </c>
      <c r="F1240" s="289" t="s">
        <v>5408</v>
      </c>
      <c r="I1240" s="289" t="str">
        <f>("F016278")</f>
        <v>F016278</v>
      </c>
    </row>
    <row r="1241" spans="1:9">
      <c r="A1241" s="289" t="s">
        <v>4444</v>
      </c>
      <c r="B1241" s="289" t="s">
        <v>34</v>
      </c>
      <c r="C1241" s="289" t="s">
        <v>4356</v>
      </c>
      <c r="D1241" s="289" t="s">
        <v>4445</v>
      </c>
      <c r="E1241" s="289" t="s">
        <v>4446</v>
      </c>
      <c r="F1241" s="289" t="s">
        <v>4447</v>
      </c>
      <c r="I1241" s="289" t="str">
        <f>("F016360")</f>
        <v>F016360</v>
      </c>
    </row>
    <row r="1242" spans="1:9">
      <c r="A1242" s="289" t="s">
        <v>4834</v>
      </c>
      <c r="B1242" s="289" t="s">
        <v>34</v>
      </c>
      <c r="C1242" s="289" t="s">
        <v>4356</v>
      </c>
      <c r="D1242" s="289" t="s">
        <v>4828</v>
      </c>
      <c r="E1242" s="289" t="s">
        <v>4829</v>
      </c>
      <c r="F1242" s="289" t="s">
        <v>4830</v>
      </c>
      <c r="I1242" s="289" t="str">
        <f>("F020848")</f>
        <v>F020848</v>
      </c>
    </row>
    <row r="1243" spans="1:9">
      <c r="A1243" s="289" t="s">
        <v>5182</v>
      </c>
      <c r="B1243" s="289" t="s">
        <v>34</v>
      </c>
      <c r="C1243" s="289" t="s">
        <v>4356</v>
      </c>
      <c r="D1243" s="289" t="s">
        <v>1519</v>
      </c>
      <c r="E1243" s="289" t="s">
        <v>1520</v>
      </c>
      <c r="F1243" s="289" t="s">
        <v>5181</v>
      </c>
      <c r="I1243" s="289" t="str">
        <f>("F022132")</f>
        <v>F022132</v>
      </c>
    </row>
    <row r="1244" spans="1:9">
      <c r="A1244" s="289" t="s">
        <v>5186</v>
      </c>
      <c r="B1244" s="289" t="s">
        <v>34</v>
      </c>
      <c r="C1244" s="289" t="s">
        <v>4356</v>
      </c>
      <c r="D1244" s="289" t="s">
        <v>5183</v>
      </c>
      <c r="E1244" s="289" t="s">
        <v>5184</v>
      </c>
      <c r="F1244" s="289" t="s">
        <v>5185</v>
      </c>
      <c r="I1244" s="289" t="str">
        <f>("F022163")</f>
        <v>F022163</v>
      </c>
    </row>
    <row r="1245" spans="1:9">
      <c r="A1245" s="289" t="s">
        <v>5190</v>
      </c>
      <c r="B1245" s="289" t="s">
        <v>34</v>
      </c>
      <c r="C1245" s="289" t="s">
        <v>4356</v>
      </c>
      <c r="D1245" s="289" t="s">
        <v>5187</v>
      </c>
      <c r="E1245" s="289" t="s">
        <v>5188</v>
      </c>
      <c r="F1245" s="289" t="s">
        <v>5189</v>
      </c>
      <c r="I1245" s="289" t="str">
        <f>("F022378")</f>
        <v>F022378</v>
      </c>
    </row>
    <row r="1246" spans="1:9">
      <c r="A1246" s="289" t="s">
        <v>5409</v>
      </c>
      <c r="B1246" s="289" t="s">
        <v>29</v>
      </c>
      <c r="C1246" s="289" t="s">
        <v>4356</v>
      </c>
      <c r="D1246" s="289" t="s">
        <v>3436</v>
      </c>
      <c r="E1246" s="289" t="s">
        <v>3437</v>
      </c>
      <c r="F1246" s="289" t="s">
        <v>5191</v>
      </c>
      <c r="I1246" s="289" t="str">
        <f>("F023726")</f>
        <v>F023726</v>
      </c>
    </row>
    <row r="1247" spans="1:9">
      <c r="A1247" s="290">
        <v>210913</v>
      </c>
      <c r="B1247" s="289" t="s">
        <v>630</v>
      </c>
      <c r="C1247" s="289" t="s">
        <v>1041</v>
      </c>
      <c r="D1247" s="289" t="s">
        <v>4873</v>
      </c>
      <c r="E1247" s="289" t="s">
        <v>4874</v>
      </c>
      <c r="F1247" s="289" t="s">
        <v>4875</v>
      </c>
      <c r="I1247" s="289" t="s">
        <v>4876</v>
      </c>
    </row>
    <row r="1248" spans="1:9">
      <c r="A1248" s="290">
        <v>210935</v>
      </c>
      <c r="B1248" s="289" t="s">
        <v>630</v>
      </c>
      <c r="C1248" s="289" t="s">
        <v>1041</v>
      </c>
      <c r="D1248" s="289" t="s">
        <v>1042</v>
      </c>
      <c r="E1248" s="289" t="s">
        <v>1043</v>
      </c>
      <c r="F1248" s="289" t="s">
        <v>1044</v>
      </c>
      <c r="I1248" s="289" t="s">
        <v>1045</v>
      </c>
    </row>
    <row r="1249" spans="1:9">
      <c r="A1249" s="290">
        <v>210946</v>
      </c>
      <c r="B1249" s="289" t="s">
        <v>630</v>
      </c>
      <c r="C1249" s="289" t="s">
        <v>1041</v>
      </c>
      <c r="D1249" s="289" t="s">
        <v>1046</v>
      </c>
      <c r="E1249" s="289" t="s">
        <v>1047</v>
      </c>
      <c r="F1249" s="289" t="s">
        <v>4877</v>
      </c>
      <c r="I1249" s="289" t="s">
        <v>1048</v>
      </c>
    </row>
    <row r="1250" spans="1:9">
      <c r="A1250" s="290">
        <v>210968</v>
      </c>
      <c r="B1250" s="289" t="s">
        <v>630</v>
      </c>
      <c r="C1250" s="289" t="s">
        <v>1041</v>
      </c>
      <c r="D1250" s="289" t="s">
        <v>1052</v>
      </c>
      <c r="E1250" s="289" t="s">
        <v>1053</v>
      </c>
      <c r="F1250" s="289" t="s">
        <v>1054</v>
      </c>
      <c r="I1250" s="289" t="s">
        <v>1055</v>
      </c>
    </row>
    <row r="1251" spans="1:9">
      <c r="A1251" s="290">
        <v>210979</v>
      </c>
      <c r="B1251" s="289" t="s">
        <v>630</v>
      </c>
      <c r="C1251" s="289" t="s">
        <v>1041</v>
      </c>
      <c r="D1251" s="289" t="s">
        <v>1056</v>
      </c>
      <c r="E1251" s="289" t="s">
        <v>1057</v>
      </c>
      <c r="F1251" s="289" t="s">
        <v>1058</v>
      </c>
      <c r="I1251" s="289" t="s">
        <v>1059</v>
      </c>
    </row>
    <row r="1252" spans="1:9">
      <c r="A1252" s="290">
        <v>211004</v>
      </c>
      <c r="B1252" s="289" t="s">
        <v>630</v>
      </c>
      <c r="C1252" s="289" t="s">
        <v>1041</v>
      </c>
      <c r="D1252" s="289" t="s">
        <v>1060</v>
      </c>
      <c r="E1252" s="289" t="s">
        <v>1061</v>
      </c>
      <c r="F1252" s="289" t="s">
        <v>1062</v>
      </c>
      <c r="I1252" s="289" t="s">
        <v>1063</v>
      </c>
    </row>
    <row r="1253" spans="1:9">
      <c r="A1253" s="290">
        <v>211026</v>
      </c>
      <c r="B1253" s="289" t="s">
        <v>630</v>
      </c>
      <c r="C1253" s="289" t="s">
        <v>1041</v>
      </c>
      <c r="D1253" s="289" t="s">
        <v>1064</v>
      </c>
      <c r="E1253" s="289" t="s">
        <v>1065</v>
      </c>
      <c r="F1253" s="289" t="s">
        <v>1066</v>
      </c>
      <c r="I1253" s="289" t="s">
        <v>1067</v>
      </c>
    </row>
    <row r="1254" spans="1:9">
      <c r="A1254" s="290">
        <v>211093</v>
      </c>
      <c r="B1254" s="289" t="s">
        <v>630</v>
      </c>
      <c r="C1254" s="289" t="s">
        <v>1041</v>
      </c>
      <c r="D1254" s="289" t="s">
        <v>1068</v>
      </c>
      <c r="E1254" s="289" t="s">
        <v>1069</v>
      </c>
      <c r="F1254" s="289" t="s">
        <v>1070</v>
      </c>
      <c r="I1254" s="289" t="s">
        <v>1071</v>
      </c>
    </row>
    <row r="1255" spans="1:9">
      <c r="A1255" s="290">
        <v>211105</v>
      </c>
      <c r="B1255" s="289" t="s">
        <v>630</v>
      </c>
      <c r="C1255" s="289" t="s">
        <v>1041</v>
      </c>
      <c r="D1255" s="289" t="s">
        <v>1072</v>
      </c>
      <c r="E1255" s="289" t="s">
        <v>1073</v>
      </c>
      <c r="F1255" s="289" t="s">
        <v>1074</v>
      </c>
      <c r="I1255" s="289" t="s">
        <v>1075</v>
      </c>
    </row>
    <row r="1256" spans="1:9">
      <c r="A1256" s="290">
        <v>211116</v>
      </c>
      <c r="B1256" s="289" t="s">
        <v>630</v>
      </c>
      <c r="C1256" s="289" t="s">
        <v>1041</v>
      </c>
      <c r="D1256" s="289" t="s">
        <v>1076</v>
      </c>
      <c r="E1256" s="289" t="s">
        <v>1077</v>
      </c>
      <c r="F1256" s="289" t="s">
        <v>1078</v>
      </c>
      <c r="I1256" s="289" t="s">
        <v>1079</v>
      </c>
    </row>
    <row r="1257" spans="1:9">
      <c r="A1257" s="290">
        <v>211127</v>
      </c>
      <c r="B1257" s="289" t="s">
        <v>630</v>
      </c>
      <c r="C1257" s="289" t="s">
        <v>1041</v>
      </c>
      <c r="D1257" s="289" t="s">
        <v>1080</v>
      </c>
      <c r="E1257" s="289" t="s">
        <v>1081</v>
      </c>
      <c r="F1257" s="289" t="s">
        <v>1082</v>
      </c>
      <c r="I1257" s="289" t="s">
        <v>1083</v>
      </c>
    </row>
    <row r="1258" spans="1:9">
      <c r="A1258" s="290">
        <v>211138</v>
      </c>
      <c r="B1258" s="289" t="s">
        <v>630</v>
      </c>
      <c r="C1258" s="289" t="s">
        <v>1041</v>
      </c>
      <c r="D1258" s="289" t="s">
        <v>1084</v>
      </c>
      <c r="E1258" s="289" t="s">
        <v>1085</v>
      </c>
      <c r="F1258" s="289" t="s">
        <v>1086</v>
      </c>
      <c r="I1258" s="289" t="s">
        <v>1087</v>
      </c>
    </row>
    <row r="1259" spans="1:9">
      <c r="A1259" s="290">
        <v>211149</v>
      </c>
      <c r="B1259" s="289" t="s">
        <v>630</v>
      </c>
      <c r="C1259" s="289" t="s">
        <v>1041</v>
      </c>
      <c r="D1259" s="289" t="s">
        <v>1088</v>
      </c>
      <c r="E1259" s="289" t="s">
        <v>1089</v>
      </c>
      <c r="F1259" s="289" t="s">
        <v>1090</v>
      </c>
      <c r="I1259" s="289" t="s">
        <v>1091</v>
      </c>
    </row>
    <row r="1260" spans="1:9">
      <c r="A1260" s="290">
        <v>211161</v>
      </c>
      <c r="B1260" s="289" t="s">
        <v>630</v>
      </c>
      <c r="C1260" s="289" t="s">
        <v>1041</v>
      </c>
      <c r="D1260" s="289" t="s">
        <v>1092</v>
      </c>
      <c r="E1260" s="289" t="s">
        <v>1093</v>
      </c>
      <c r="F1260" s="289" t="s">
        <v>1094</v>
      </c>
      <c r="I1260" s="289" t="s">
        <v>1095</v>
      </c>
    </row>
    <row r="1261" spans="1:9">
      <c r="A1261" s="290">
        <v>211172</v>
      </c>
      <c r="B1261" s="289" t="s">
        <v>630</v>
      </c>
      <c r="C1261" s="289" t="s">
        <v>1041</v>
      </c>
      <c r="D1261" s="289" t="s">
        <v>1096</v>
      </c>
      <c r="E1261" s="289" t="s">
        <v>1097</v>
      </c>
      <c r="F1261" s="289" t="s">
        <v>1098</v>
      </c>
      <c r="I1261" s="289" t="s">
        <v>1099</v>
      </c>
    </row>
    <row r="1262" spans="1:9">
      <c r="A1262" s="290">
        <v>211194</v>
      </c>
      <c r="B1262" s="289" t="s">
        <v>630</v>
      </c>
      <c r="C1262" s="289" t="s">
        <v>1041</v>
      </c>
      <c r="D1262" s="289" t="s">
        <v>1100</v>
      </c>
      <c r="E1262" s="289" t="s">
        <v>1101</v>
      </c>
      <c r="F1262" s="289" t="s">
        <v>1102</v>
      </c>
      <c r="I1262" s="289" t="s">
        <v>1103</v>
      </c>
    </row>
    <row r="1263" spans="1:9">
      <c r="A1263" s="290">
        <v>211206</v>
      </c>
      <c r="B1263" s="289" t="s">
        <v>630</v>
      </c>
      <c r="C1263" s="289" t="s">
        <v>1041</v>
      </c>
      <c r="D1263" s="289" t="s">
        <v>1104</v>
      </c>
      <c r="E1263" s="289" t="s">
        <v>1105</v>
      </c>
      <c r="F1263" s="289" t="s">
        <v>1106</v>
      </c>
      <c r="I1263" s="289" t="s">
        <v>1107</v>
      </c>
    </row>
    <row r="1264" spans="1:9">
      <c r="A1264" s="290">
        <v>211217</v>
      </c>
      <c r="B1264" s="289" t="s">
        <v>630</v>
      </c>
      <c r="C1264" s="289" t="s">
        <v>1041</v>
      </c>
      <c r="D1264" s="289" t="s">
        <v>1108</v>
      </c>
      <c r="E1264" s="289" t="s">
        <v>1109</v>
      </c>
      <c r="F1264" s="289" t="s">
        <v>1110</v>
      </c>
      <c r="I1264" s="289" t="s">
        <v>1111</v>
      </c>
    </row>
    <row r="1265" spans="1:9">
      <c r="A1265" s="290">
        <v>211228</v>
      </c>
      <c r="B1265" s="289" t="s">
        <v>630</v>
      </c>
      <c r="C1265" s="289" t="s">
        <v>1041</v>
      </c>
      <c r="D1265" s="289" t="s">
        <v>1112</v>
      </c>
      <c r="E1265" s="289" t="s">
        <v>1113</v>
      </c>
      <c r="F1265" s="289" t="s">
        <v>1114</v>
      </c>
      <c r="I1265" s="289" t="s">
        <v>1115</v>
      </c>
    </row>
    <row r="1266" spans="1:9">
      <c r="A1266" s="290">
        <v>211240</v>
      </c>
      <c r="B1266" s="289" t="s">
        <v>630</v>
      </c>
      <c r="C1266" s="289" t="s">
        <v>1041</v>
      </c>
      <c r="D1266" s="289" t="s">
        <v>1116</v>
      </c>
      <c r="E1266" s="289" t="s">
        <v>1117</v>
      </c>
      <c r="F1266" s="289" t="s">
        <v>1118</v>
      </c>
      <c r="I1266" s="289" t="s">
        <v>1119</v>
      </c>
    </row>
    <row r="1267" spans="1:9">
      <c r="A1267" s="290">
        <v>211251</v>
      </c>
      <c r="B1267" s="289" t="s">
        <v>630</v>
      </c>
      <c r="C1267" s="289" t="s">
        <v>1041</v>
      </c>
      <c r="D1267" s="289" t="s">
        <v>1120</v>
      </c>
      <c r="E1267" s="289" t="s">
        <v>1121</v>
      </c>
      <c r="F1267" s="289" t="s">
        <v>1122</v>
      </c>
      <c r="I1267" s="289" t="s">
        <v>1123</v>
      </c>
    </row>
    <row r="1268" spans="1:9">
      <c r="A1268" s="290">
        <v>211262</v>
      </c>
      <c r="B1268" s="289" t="s">
        <v>630</v>
      </c>
      <c r="C1268" s="289" t="s">
        <v>1041</v>
      </c>
      <c r="D1268" s="289" t="s">
        <v>1124</v>
      </c>
      <c r="E1268" s="289" t="s">
        <v>1125</v>
      </c>
      <c r="F1268" s="289" t="s">
        <v>1126</v>
      </c>
      <c r="I1268" s="289" t="s">
        <v>1127</v>
      </c>
    </row>
    <row r="1269" spans="1:9">
      <c r="A1269" s="290">
        <v>211284</v>
      </c>
      <c r="B1269" s="289" t="s">
        <v>630</v>
      </c>
      <c r="C1269" s="289" t="s">
        <v>1041</v>
      </c>
      <c r="D1269" s="289" t="s">
        <v>1128</v>
      </c>
      <c r="E1269" s="289" t="s">
        <v>1129</v>
      </c>
      <c r="F1269" s="289" t="s">
        <v>1130</v>
      </c>
      <c r="I1269" s="289" t="s">
        <v>1131</v>
      </c>
    </row>
    <row r="1270" spans="1:9">
      <c r="A1270" s="290">
        <v>211329</v>
      </c>
      <c r="B1270" s="289" t="s">
        <v>630</v>
      </c>
      <c r="C1270" s="289" t="s">
        <v>1041</v>
      </c>
      <c r="D1270" s="289" t="s">
        <v>1132</v>
      </c>
      <c r="E1270" s="289" t="s">
        <v>1133</v>
      </c>
      <c r="F1270" s="289" t="s">
        <v>1134</v>
      </c>
      <c r="I1270" s="289" t="s">
        <v>1135</v>
      </c>
    </row>
    <row r="1271" spans="1:9">
      <c r="A1271" s="290">
        <v>211330</v>
      </c>
      <c r="B1271" s="289" t="s">
        <v>630</v>
      </c>
      <c r="C1271" s="289" t="s">
        <v>1041</v>
      </c>
      <c r="D1271" s="289" t="s">
        <v>1136</v>
      </c>
      <c r="E1271" s="289" t="s">
        <v>1137</v>
      </c>
      <c r="F1271" s="289" t="s">
        <v>1138</v>
      </c>
      <c r="I1271" s="289" t="s">
        <v>1139</v>
      </c>
    </row>
    <row r="1272" spans="1:9">
      <c r="A1272" s="290">
        <v>211341</v>
      </c>
      <c r="B1272" s="289" t="s">
        <v>630</v>
      </c>
      <c r="C1272" s="289" t="s">
        <v>1041</v>
      </c>
      <c r="D1272" s="289" t="s">
        <v>1140</v>
      </c>
      <c r="E1272" s="289" t="s">
        <v>1141</v>
      </c>
      <c r="F1272" s="289" t="s">
        <v>1142</v>
      </c>
      <c r="I1272" s="289" t="s">
        <v>1143</v>
      </c>
    </row>
    <row r="1273" spans="1:9">
      <c r="A1273" s="290">
        <v>211352</v>
      </c>
      <c r="B1273" s="289" t="s">
        <v>630</v>
      </c>
      <c r="C1273" s="289" t="s">
        <v>1041</v>
      </c>
      <c r="D1273" s="289" t="s">
        <v>1144</v>
      </c>
      <c r="E1273" s="289" t="s">
        <v>1145</v>
      </c>
      <c r="F1273" s="289" t="s">
        <v>1146</v>
      </c>
      <c r="I1273" s="289" t="s">
        <v>1147</v>
      </c>
    </row>
    <row r="1274" spans="1:9">
      <c r="A1274" s="290">
        <v>211363</v>
      </c>
      <c r="B1274" s="289" t="s">
        <v>630</v>
      </c>
      <c r="C1274" s="289" t="s">
        <v>1041</v>
      </c>
      <c r="D1274" s="289" t="s">
        <v>1148</v>
      </c>
      <c r="E1274" s="289" t="s">
        <v>1149</v>
      </c>
      <c r="F1274" s="289" t="s">
        <v>1150</v>
      </c>
      <c r="I1274" s="289" t="s">
        <v>1151</v>
      </c>
    </row>
    <row r="1275" spans="1:9">
      <c r="A1275" s="290">
        <v>211385</v>
      </c>
      <c r="B1275" s="289" t="s">
        <v>630</v>
      </c>
      <c r="C1275" s="289" t="s">
        <v>1041</v>
      </c>
      <c r="D1275" s="289" t="s">
        <v>1152</v>
      </c>
      <c r="E1275" s="289" t="s">
        <v>1153</v>
      </c>
      <c r="F1275" s="289" t="s">
        <v>1154</v>
      </c>
      <c r="I1275" s="289" t="s">
        <v>1155</v>
      </c>
    </row>
    <row r="1276" spans="1:9">
      <c r="A1276" s="290">
        <v>211396</v>
      </c>
      <c r="B1276" s="289" t="s">
        <v>630</v>
      </c>
      <c r="C1276" s="289" t="s">
        <v>1041</v>
      </c>
      <c r="D1276" s="289" t="s">
        <v>1156</v>
      </c>
      <c r="E1276" s="289" t="s">
        <v>1157</v>
      </c>
      <c r="F1276" s="289" t="s">
        <v>4685</v>
      </c>
      <c r="I1276" s="289" t="s">
        <v>1158</v>
      </c>
    </row>
    <row r="1277" spans="1:9">
      <c r="A1277" s="290">
        <v>211408</v>
      </c>
      <c r="B1277" s="289" t="s">
        <v>630</v>
      </c>
      <c r="C1277" s="289" t="s">
        <v>1041</v>
      </c>
      <c r="D1277" s="289" t="s">
        <v>1159</v>
      </c>
      <c r="E1277" s="289" t="s">
        <v>1160</v>
      </c>
      <c r="F1277" s="289" t="s">
        <v>1161</v>
      </c>
      <c r="I1277" s="289" t="s">
        <v>1162</v>
      </c>
    </row>
    <row r="1278" spans="1:9">
      <c r="A1278" s="290">
        <v>211419</v>
      </c>
      <c r="B1278" s="289" t="s">
        <v>630</v>
      </c>
      <c r="C1278" s="289" t="s">
        <v>1041</v>
      </c>
      <c r="D1278" s="289" t="s">
        <v>1163</v>
      </c>
      <c r="E1278" s="289" t="s">
        <v>1164</v>
      </c>
      <c r="F1278" s="289" t="s">
        <v>1165</v>
      </c>
      <c r="I1278" s="289" t="s">
        <v>1166</v>
      </c>
    </row>
    <row r="1279" spans="1:9">
      <c r="A1279" s="290">
        <v>211420</v>
      </c>
      <c r="B1279" s="289" t="s">
        <v>630</v>
      </c>
      <c r="C1279" s="289" t="s">
        <v>1041</v>
      </c>
      <c r="D1279" s="289" t="s">
        <v>1167</v>
      </c>
      <c r="E1279" s="289" t="s">
        <v>1168</v>
      </c>
      <c r="F1279" s="289" t="s">
        <v>1169</v>
      </c>
      <c r="I1279" s="289" t="s">
        <v>1170</v>
      </c>
    </row>
    <row r="1280" spans="1:9">
      <c r="A1280" s="290">
        <v>211442</v>
      </c>
      <c r="B1280" s="289" t="s">
        <v>630</v>
      </c>
      <c r="C1280" s="289" t="s">
        <v>1041</v>
      </c>
      <c r="D1280" s="289" t="s">
        <v>1171</v>
      </c>
      <c r="E1280" s="289" t="s">
        <v>1172</v>
      </c>
      <c r="F1280" s="289" t="s">
        <v>1173</v>
      </c>
      <c r="I1280" s="289" t="s">
        <v>1174</v>
      </c>
    </row>
    <row r="1281" spans="1:9">
      <c r="A1281" s="290">
        <v>211453</v>
      </c>
      <c r="B1281" s="289" t="s">
        <v>630</v>
      </c>
      <c r="C1281" s="289" t="s">
        <v>1041</v>
      </c>
      <c r="D1281" s="289" t="s">
        <v>1175</v>
      </c>
      <c r="E1281" s="289" t="s">
        <v>1176</v>
      </c>
      <c r="F1281" s="289" t="s">
        <v>1177</v>
      </c>
      <c r="I1281" s="289" t="s">
        <v>1178</v>
      </c>
    </row>
    <row r="1282" spans="1:9">
      <c r="A1282" s="290">
        <v>211475</v>
      </c>
      <c r="B1282" s="289" t="s">
        <v>630</v>
      </c>
      <c r="C1282" s="289" t="s">
        <v>1041</v>
      </c>
      <c r="D1282" s="289" t="s">
        <v>1179</v>
      </c>
      <c r="E1282" s="289" t="s">
        <v>1180</v>
      </c>
      <c r="F1282" s="289" t="s">
        <v>1181</v>
      </c>
      <c r="I1282" s="289" t="s">
        <v>1182</v>
      </c>
    </row>
    <row r="1283" spans="1:9">
      <c r="A1283" s="290">
        <v>211486</v>
      </c>
      <c r="B1283" s="289" t="s">
        <v>630</v>
      </c>
      <c r="C1283" s="289" t="s">
        <v>1041</v>
      </c>
      <c r="D1283" s="289" t="s">
        <v>1183</v>
      </c>
      <c r="E1283" s="289" t="s">
        <v>1184</v>
      </c>
      <c r="F1283" s="289" t="s">
        <v>1185</v>
      </c>
      <c r="I1283" s="289" t="s">
        <v>1186</v>
      </c>
    </row>
    <row r="1284" spans="1:9">
      <c r="A1284" s="290">
        <v>211510</v>
      </c>
      <c r="B1284" s="289" t="s">
        <v>630</v>
      </c>
      <c r="C1284" s="289" t="s">
        <v>1041</v>
      </c>
      <c r="D1284" s="289" t="s">
        <v>1187</v>
      </c>
      <c r="E1284" s="289" t="s">
        <v>1188</v>
      </c>
      <c r="F1284" s="289" t="s">
        <v>4878</v>
      </c>
      <c r="I1284" s="289" t="s">
        <v>1189</v>
      </c>
    </row>
    <row r="1285" spans="1:9">
      <c r="A1285" s="290">
        <v>211521</v>
      </c>
      <c r="B1285" s="289" t="s">
        <v>630</v>
      </c>
      <c r="C1285" s="289" t="s">
        <v>1041</v>
      </c>
      <c r="D1285" s="289" t="s">
        <v>1190</v>
      </c>
      <c r="E1285" s="289" t="s">
        <v>1191</v>
      </c>
      <c r="F1285" s="289" t="s">
        <v>4879</v>
      </c>
      <c r="I1285" s="289" t="s">
        <v>1192</v>
      </c>
    </row>
    <row r="1286" spans="1:9">
      <c r="A1286" s="290">
        <v>211532</v>
      </c>
      <c r="B1286" s="289" t="s">
        <v>630</v>
      </c>
      <c r="C1286" s="289" t="s">
        <v>1041</v>
      </c>
      <c r="D1286" s="289" t="s">
        <v>1193</v>
      </c>
      <c r="E1286" s="289" t="s">
        <v>1194</v>
      </c>
      <c r="F1286" s="289" t="s">
        <v>1195</v>
      </c>
      <c r="I1286" s="289" t="s">
        <v>1196</v>
      </c>
    </row>
    <row r="1287" spans="1:9">
      <c r="A1287" s="290">
        <v>211565</v>
      </c>
      <c r="B1287" s="289" t="s">
        <v>630</v>
      </c>
      <c r="C1287" s="289" t="s">
        <v>1041</v>
      </c>
      <c r="D1287" s="289" t="s">
        <v>1197</v>
      </c>
      <c r="E1287" s="289" t="s">
        <v>1198</v>
      </c>
      <c r="F1287" s="289" t="s">
        <v>1199</v>
      </c>
      <c r="I1287" s="289" t="s">
        <v>1200</v>
      </c>
    </row>
    <row r="1288" spans="1:9">
      <c r="A1288" s="290">
        <v>211576</v>
      </c>
      <c r="B1288" s="289" t="s">
        <v>630</v>
      </c>
      <c r="C1288" s="289" t="s">
        <v>1041</v>
      </c>
      <c r="D1288" s="289" t="s">
        <v>1201</v>
      </c>
      <c r="E1288" s="289" t="s">
        <v>1202</v>
      </c>
      <c r="F1288" s="289" t="s">
        <v>1203</v>
      </c>
      <c r="I1288" s="289" t="s">
        <v>1204</v>
      </c>
    </row>
    <row r="1289" spans="1:9">
      <c r="A1289" s="290">
        <v>211587</v>
      </c>
      <c r="B1289" s="289" t="s">
        <v>630</v>
      </c>
      <c r="C1289" s="289" t="s">
        <v>1041</v>
      </c>
      <c r="D1289" s="289" t="s">
        <v>1205</v>
      </c>
      <c r="E1289" s="289" t="s">
        <v>1206</v>
      </c>
      <c r="F1289" s="289" t="s">
        <v>1207</v>
      </c>
      <c r="I1289" s="289" t="s">
        <v>1208</v>
      </c>
    </row>
    <row r="1290" spans="1:9">
      <c r="A1290" s="290">
        <v>211611</v>
      </c>
      <c r="B1290" s="289" t="s">
        <v>630</v>
      </c>
      <c r="C1290" s="289" t="s">
        <v>1041</v>
      </c>
      <c r="D1290" s="289" t="s">
        <v>1209</v>
      </c>
      <c r="E1290" s="289" t="s">
        <v>1210</v>
      </c>
      <c r="F1290" s="289" t="s">
        <v>1211</v>
      </c>
      <c r="I1290" s="289" t="s">
        <v>1212</v>
      </c>
    </row>
    <row r="1291" spans="1:9">
      <c r="A1291" s="290">
        <v>211633</v>
      </c>
      <c r="B1291" s="289" t="s">
        <v>630</v>
      </c>
      <c r="C1291" s="289" t="s">
        <v>1041</v>
      </c>
      <c r="D1291" s="289" t="s">
        <v>1213</v>
      </c>
      <c r="E1291" s="289" t="s">
        <v>1214</v>
      </c>
      <c r="F1291" s="289" t="s">
        <v>1215</v>
      </c>
      <c r="I1291" s="289" t="s">
        <v>1216</v>
      </c>
    </row>
    <row r="1292" spans="1:9">
      <c r="A1292" s="290">
        <v>211688</v>
      </c>
      <c r="B1292" s="289" t="s">
        <v>630</v>
      </c>
      <c r="C1292" s="289" t="s">
        <v>1041</v>
      </c>
      <c r="D1292" s="289" t="s">
        <v>1217</v>
      </c>
      <c r="E1292" s="289" t="s">
        <v>1218</v>
      </c>
      <c r="F1292" s="289" t="s">
        <v>1219</v>
      </c>
      <c r="I1292" s="289" t="s">
        <v>1220</v>
      </c>
    </row>
    <row r="1293" spans="1:9">
      <c r="A1293" s="290">
        <v>211699</v>
      </c>
      <c r="B1293" s="289" t="s">
        <v>630</v>
      </c>
      <c r="C1293" s="289" t="s">
        <v>1041</v>
      </c>
      <c r="D1293" s="289" t="s">
        <v>1221</v>
      </c>
      <c r="E1293" s="289" t="s">
        <v>1222</v>
      </c>
      <c r="F1293" s="289" t="s">
        <v>1223</v>
      </c>
      <c r="I1293" s="289" t="s">
        <v>1224</v>
      </c>
    </row>
    <row r="1294" spans="1:9">
      <c r="A1294" s="290">
        <v>211712</v>
      </c>
      <c r="B1294" s="289" t="s">
        <v>630</v>
      </c>
      <c r="C1294" s="289" t="s">
        <v>1041</v>
      </c>
      <c r="D1294" s="289" t="s">
        <v>1225</v>
      </c>
      <c r="E1294" s="289" t="s">
        <v>1226</v>
      </c>
      <c r="F1294" s="289" t="s">
        <v>1227</v>
      </c>
      <c r="I1294" s="289" t="s">
        <v>1228</v>
      </c>
    </row>
    <row r="1295" spans="1:9">
      <c r="A1295" s="290">
        <v>211723</v>
      </c>
      <c r="B1295" s="289" t="s">
        <v>630</v>
      </c>
      <c r="C1295" s="289" t="s">
        <v>1041</v>
      </c>
      <c r="D1295" s="289" t="s">
        <v>1229</v>
      </c>
      <c r="E1295" s="289" t="s">
        <v>1230</v>
      </c>
      <c r="F1295" s="289" t="s">
        <v>1231</v>
      </c>
      <c r="I1295" s="289" t="s">
        <v>1232</v>
      </c>
    </row>
    <row r="1296" spans="1:9">
      <c r="A1296" s="290">
        <v>211745</v>
      </c>
      <c r="B1296" s="289" t="s">
        <v>630</v>
      </c>
      <c r="C1296" s="289" t="s">
        <v>1041</v>
      </c>
      <c r="D1296" s="289" t="s">
        <v>1233</v>
      </c>
      <c r="E1296" s="289" t="s">
        <v>1234</v>
      </c>
      <c r="F1296" s="289" t="s">
        <v>1235</v>
      </c>
      <c r="I1296" s="289" t="s">
        <v>1236</v>
      </c>
    </row>
    <row r="1297" spans="1:9">
      <c r="A1297" s="290">
        <v>211756</v>
      </c>
      <c r="B1297" s="289" t="s">
        <v>630</v>
      </c>
      <c r="C1297" s="289" t="s">
        <v>1041</v>
      </c>
      <c r="D1297" s="289" t="s">
        <v>1237</v>
      </c>
      <c r="E1297" s="289" t="s">
        <v>1238</v>
      </c>
      <c r="F1297" s="289" t="s">
        <v>1239</v>
      </c>
      <c r="I1297" s="289" t="s">
        <v>1240</v>
      </c>
    </row>
    <row r="1298" spans="1:9">
      <c r="A1298" s="290">
        <v>211767</v>
      </c>
      <c r="B1298" s="289" t="s">
        <v>630</v>
      </c>
      <c r="C1298" s="289" t="s">
        <v>1041</v>
      </c>
      <c r="D1298" s="289" t="s">
        <v>1241</v>
      </c>
      <c r="E1298" s="289" t="s">
        <v>1242</v>
      </c>
      <c r="F1298" s="289" t="s">
        <v>1243</v>
      </c>
      <c r="I1298" s="289" t="s">
        <v>1244</v>
      </c>
    </row>
    <row r="1299" spans="1:9">
      <c r="A1299" s="290">
        <v>211778</v>
      </c>
      <c r="B1299" s="289" t="s">
        <v>630</v>
      </c>
      <c r="C1299" s="289" t="s">
        <v>1041</v>
      </c>
      <c r="D1299" s="289" t="s">
        <v>1245</v>
      </c>
      <c r="E1299" s="289" t="s">
        <v>1246</v>
      </c>
      <c r="F1299" s="289" t="s">
        <v>1247</v>
      </c>
      <c r="I1299" s="289" t="s">
        <v>1248</v>
      </c>
    </row>
    <row r="1300" spans="1:9">
      <c r="A1300" s="290">
        <v>211790</v>
      </c>
      <c r="B1300" s="289" t="s">
        <v>630</v>
      </c>
      <c r="C1300" s="289" t="s">
        <v>1041</v>
      </c>
      <c r="D1300" s="289" t="s">
        <v>1249</v>
      </c>
      <c r="E1300" s="289" t="s">
        <v>1250</v>
      </c>
      <c r="F1300" s="289" t="s">
        <v>1251</v>
      </c>
      <c r="I1300" s="289" t="s">
        <v>1252</v>
      </c>
    </row>
    <row r="1301" spans="1:9">
      <c r="A1301" s="290">
        <v>211802</v>
      </c>
      <c r="B1301" s="289" t="s">
        <v>630</v>
      </c>
      <c r="C1301" s="289" t="s">
        <v>1041</v>
      </c>
      <c r="D1301" s="289" t="s">
        <v>1253</v>
      </c>
      <c r="E1301" s="289" t="s">
        <v>1254</v>
      </c>
      <c r="F1301" s="289" t="s">
        <v>1255</v>
      </c>
      <c r="I1301" s="289" t="s">
        <v>1256</v>
      </c>
    </row>
    <row r="1302" spans="1:9">
      <c r="A1302" s="290">
        <v>211813</v>
      </c>
      <c r="B1302" s="289" t="s">
        <v>630</v>
      </c>
      <c r="C1302" s="289" t="s">
        <v>1041</v>
      </c>
      <c r="D1302" s="289" t="s">
        <v>1257</v>
      </c>
      <c r="E1302" s="289" t="s">
        <v>1258</v>
      </c>
      <c r="F1302" s="289" t="s">
        <v>1259</v>
      </c>
      <c r="I1302" s="289" t="s">
        <v>1260</v>
      </c>
    </row>
    <row r="1303" spans="1:9">
      <c r="A1303" s="290">
        <v>211868</v>
      </c>
      <c r="B1303" s="289" t="s">
        <v>630</v>
      </c>
      <c r="C1303" s="289" t="s">
        <v>1041</v>
      </c>
      <c r="D1303" s="289" t="s">
        <v>1261</v>
      </c>
      <c r="E1303" s="289" t="s">
        <v>1262</v>
      </c>
      <c r="F1303" s="289" t="s">
        <v>1263</v>
      </c>
      <c r="I1303" s="289" t="s">
        <v>1264</v>
      </c>
    </row>
    <row r="1304" spans="1:9">
      <c r="A1304" s="290">
        <v>211879</v>
      </c>
      <c r="B1304" s="289" t="s">
        <v>630</v>
      </c>
      <c r="C1304" s="289" t="s">
        <v>1041</v>
      </c>
      <c r="D1304" s="289" t="s">
        <v>1265</v>
      </c>
      <c r="E1304" s="289" t="s">
        <v>1266</v>
      </c>
      <c r="F1304" s="289" t="s">
        <v>1267</v>
      </c>
      <c r="I1304" s="289" t="s">
        <v>1268</v>
      </c>
    </row>
    <row r="1305" spans="1:9">
      <c r="A1305" s="290">
        <v>211880</v>
      </c>
      <c r="B1305" s="289" t="s">
        <v>630</v>
      </c>
      <c r="C1305" s="289" t="s">
        <v>1041</v>
      </c>
      <c r="D1305" s="289" t="s">
        <v>1269</v>
      </c>
      <c r="E1305" s="289" t="s">
        <v>1270</v>
      </c>
      <c r="F1305" s="289" t="s">
        <v>1271</v>
      </c>
      <c r="I1305" s="289" t="s">
        <v>1272</v>
      </c>
    </row>
    <row r="1306" spans="1:9">
      <c r="A1306" s="290">
        <v>211891</v>
      </c>
      <c r="B1306" s="289" t="s">
        <v>630</v>
      </c>
      <c r="C1306" s="289" t="s">
        <v>1041</v>
      </c>
      <c r="D1306" s="289" t="s">
        <v>1273</v>
      </c>
      <c r="E1306" s="289" t="s">
        <v>1274</v>
      </c>
      <c r="F1306" s="289" t="s">
        <v>1275</v>
      </c>
      <c r="I1306" s="289" t="s">
        <v>1276</v>
      </c>
    </row>
    <row r="1307" spans="1:9">
      <c r="A1307" s="290">
        <v>211914</v>
      </c>
      <c r="B1307" s="289" t="s">
        <v>630</v>
      </c>
      <c r="C1307" s="289" t="s">
        <v>1041</v>
      </c>
      <c r="D1307" s="289" t="s">
        <v>1277</v>
      </c>
      <c r="E1307" s="289" t="s">
        <v>1278</v>
      </c>
      <c r="F1307" s="289" t="s">
        <v>1279</v>
      </c>
      <c r="I1307" s="289" t="s">
        <v>1280</v>
      </c>
    </row>
    <row r="1308" spans="1:9">
      <c r="A1308" s="290">
        <v>211925</v>
      </c>
      <c r="B1308" s="289" t="s">
        <v>630</v>
      </c>
      <c r="C1308" s="289" t="s">
        <v>1041</v>
      </c>
      <c r="D1308" s="289" t="s">
        <v>1281</v>
      </c>
      <c r="E1308" s="289" t="s">
        <v>1282</v>
      </c>
      <c r="F1308" s="289" t="s">
        <v>1283</v>
      </c>
      <c r="I1308" s="289" t="s">
        <v>1284</v>
      </c>
    </row>
    <row r="1309" spans="1:9">
      <c r="A1309" s="290">
        <v>211947</v>
      </c>
      <c r="B1309" s="289" t="s">
        <v>630</v>
      </c>
      <c r="C1309" s="289" t="s">
        <v>1041</v>
      </c>
      <c r="D1309" s="289" t="s">
        <v>1285</v>
      </c>
      <c r="E1309" s="289" t="s">
        <v>1286</v>
      </c>
      <c r="F1309" s="289" t="s">
        <v>1287</v>
      </c>
      <c r="I1309" s="289" t="s">
        <v>1288</v>
      </c>
    </row>
    <row r="1310" spans="1:9">
      <c r="A1310" s="290">
        <v>211958</v>
      </c>
      <c r="B1310" s="289" t="s">
        <v>630</v>
      </c>
      <c r="C1310" s="289" t="s">
        <v>1041</v>
      </c>
      <c r="D1310" s="289" t="s">
        <v>1289</v>
      </c>
      <c r="E1310" s="289" t="s">
        <v>1290</v>
      </c>
      <c r="F1310" s="289" t="s">
        <v>4880</v>
      </c>
      <c r="I1310" s="289" t="s">
        <v>1291</v>
      </c>
    </row>
    <row r="1311" spans="1:9">
      <c r="A1311" s="290">
        <v>211969</v>
      </c>
      <c r="B1311" s="289" t="s">
        <v>630</v>
      </c>
      <c r="C1311" s="289" t="s">
        <v>1041</v>
      </c>
      <c r="D1311" s="289" t="s">
        <v>1292</v>
      </c>
      <c r="E1311" s="289" t="s">
        <v>1293</v>
      </c>
      <c r="F1311" s="289" t="s">
        <v>1294</v>
      </c>
      <c r="I1311" s="289" t="s">
        <v>1295</v>
      </c>
    </row>
    <row r="1312" spans="1:9">
      <c r="A1312" s="290">
        <v>211981</v>
      </c>
      <c r="B1312" s="289" t="s">
        <v>630</v>
      </c>
      <c r="C1312" s="289" t="s">
        <v>1041</v>
      </c>
      <c r="D1312" s="289" t="s">
        <v>4881</v>
      </c>
      <c r="E1312" s="289" t="s">
        <v>4882</v>
      </c>
      <c r="F1312" s="289" t="s">
        <v>4883</v>
      </c>
      <c r="I1312" s="289" t="s">
        <v>4884</v>
      </c>
    </row>
    <row r="1313" spans="1:9">
      <c r="A1313" s="290">
        <v>211992</v>
      </c>
      <c r="B1313" s="289" t="s">
        <v>630</v>
      </c>
      <c r="C1313" s="289" t="s">
        <v>1041</v>
      </c>
      <c r="D1313" s="289" t="s">
        <v>1296</v>
      </c>
      <c r="E1313" s="289" t="s">
        <v>1297</v>
      </c>
      <c r="F1313" s="289" t="s">
        <v>1298</v>
      </c>
      <c r="I1313" s="289" t="s">
        <v>1299</v>
      </c>
    </row>
    <row r="1314" spans="1:9">
      <c r="A1314" s="290">
        <v>212005</v>
      </c>
      <c r="B1314" s="289" t="s">
        <v>630</v>
      </c>
      <c r="C1314" s="289" t="s">
        <v>1041</v>
      </c>
      <c r="D1314" s="289" t="s">
        <v>1300</v>
      </c>
      <c r="E1314" s="289" t="s">
        <v>1301</v>
      </c>
      <c r="F1314" s="289" t="s">
        <v>1302</v>
      </c>
      <c r="I1314" s="289" t="s">
        <v>1303</v>
      </c>
    </row>
    <row r="1315" spans="1:9">
      <c r="A1315" s="290">
        <v>212016</v>
      </c>
      <c r="B1315" s="289" t="s">
        <v>630</v>
      </c>
      <c r="C1315" s="289" t="s">
        <v>1041</v>
      </c>
      <c r="D1315" s="289" t="s">
        <v>1304</v>
      </c>
      <c r="E1315" s="289" t="s">
        <v>1305</v>
      </c>
      <c r="F1315" s="289" t="s">
        <v>1306</v>
      </c>
      <c r="I1315" s="289" t="s">
        <v>1307</v>
      </c>
    </row>
    <row r="1316" spans="1:9">
      <c r="A1316" s="290">
        <v>212027</v>
      </c>
      <c r="B1316" s="289" t="s">
        <v>630</v>
      </c>
      <c r="C1316" s="289" t="s">
        <v>1041</v>
      </c>
      <c r="D1316" s="289" t="s">
        <v>4885</v>
      </c>
      <c r="E1316" s="289" t="s">
        <v>4886</v>
      </c>
      <c r="F1316" s="289" t="s">
        <v>4887</v>
      </c>
      <c r="I1316" s="289" t="s">
        <v>4888</v>
      </c>
    </row>
    <row r="1317" spans="1:9">
      <c r="A1317" s="290">
        <v>212038</v>
      </c>
      <c r="B1317" s="289" t="s">
        <v>630</v>
      </c>
      <c r="C1317" s="289" t="s">
        <v>1041</v>
      </c>
      <c r="D1317" s="289" t="s">
        <v>1308</v>
      </c>
      <c r="E1317" s="289" t="s">
        <v>1309</v>
      </c>
      <c r="F1317" s="289" t="s">
        <v>1310</v>
      </c>
      <c r="I1317" s="289" t="s">
        <v>1311</v>
      </c>
    </row>
    <row r="1318" spans="1:9">
      <c r="A1318" s="290">
        <v>212049</v>
      </c>
      <c r="B1318" s="289" t="s">
        <v>630</v>
      </c>
      <c r="C1318" s="289" t="s">
        <v>1041</v>
      </c>
      <c r="D1318" s="289" t="s">
        <v>1312</v>
      </c>
      <c r="E1318" s="289" t="s">
        <v>1313</v>
      </c>
      <c r="F1318" s="289" t="s">
        <v>1314</v>
      </c>
      <c r="I1318" s="289" t="s">
        <v>1315</v>
      </c>
    </row>
    <row r="1319" spans="1:9">
      <c r="A1319" s="290">
        <v>212050</v>
      </c>
      <c r="B1319" s="289" t="s">
        <v>630</v>
      </c>
      <c r="C1319" s="289" t="s">
        <v>1041</v>
      </c>
      <c r="D1319" s="289" t="s">
        <v>1316</v>
      </c>
      <c r="E1319" s="289" t="s">
        <v>1317</v>
      </c>
      <c r="F1319" s="289" t="s">
        <v>1318</v>
      </c>
      <c r="I1319" s="289" t="s">
        <v>1319</v>
      </c>
    </row>
    <row r="1320" spans="1:9">
      <c r="A1320" s="290">
        <v>212083</v>
      </c>
      <c r="B1320" s="289" t="s">
        <v>630</v>
      </c>
      <c r="C1320" s="289" t="s">
        <v>1041</v>
      </c>
      <c r="D1320" s="289" t="s">
        <v>1320</v>
      </c>
      <c r="E1320" s="289" t="s">
        <v>1321</v>
      </c>
      <c r="F1320" s="289" t="s">
        <v>1322</v>
      </c>
      <c r="I1320" s="289" t="s">
        <v>1323</v>
      </c>
    </row>
    <row r="1321" spans="1:9">
      <c r="A1321" s="290">
        <v>212094</v>
      </c>
      <c r="B1321" s="289" t="s">
        <v>630</v>
      </c>
      <c r="C1321" s="289" t="s">
        <v>1041</v>
      </c>
      <c r="D1321" s="289" t="s">
        <v>4889</v>
      </c>
      <c r="E1321" s="289" t="s">
        <v>4890</v>
      </c>
      <c r="F1321" s="289" t="s">
        <v>4891</v>
      </c>
      <c r="I1321" s="289" t="s">
        <v>4892</v>
      </c>
    </row>
    <row r="1322" spans="1:9">
      <c r="A1322" s="290">
        <v>212128</v>
      </c>
      <c r="B1322" s="289" t="s">
        <v>630</v>
      </c>
      <c r="C1322" s="289" t="s">
        <v>1041</v>
      </c>
      <c r="D1322" s="289" t="s">
        <v>1324</v>
      </c>
      <c r="E1322" s="289" t="s">
        <v>1325</v>
      </c>
      <c r="F1322" s="289" t="s">
        <v>1326</v>
      </c>
      <c r="I1322" s="289" t="s">
        <v>1327</v>
      </c>
    </row>
    <row r="1323" spans="1:9">
      <c r="A1323" s="290">
        <v>212151</v>
      </c>
      <c r="B1323" s="289" t="s">
        <v>630</v>
      </c>
      <c r="C1323" s="289" t="s">
        <v>1041</v>
      </c>
      <c r="D1323" s="289" t="s">
        <v>1328</v>
      </c>
      <c r="E1323" s="289" t="s">
        <v>1329</v>
      </c>
      <c r="F1323" s="289" t="s">
        <v>4686</v>
      </c>
      <c r="I1323" s="289" t="s">
        <v>1330</v>
      </c>
    </row>
    <row r="1324" spans="1:9">
      <c r="A1324" s="290">
        <v>212162</v>
      </c>
      <c r="B1324" s="289" t="s">
        <v>630</v>
      </c>
      <c r="C1324" s="289" t="s">
        <v>1041</v>
      </c>
      <c r="D1324" s="289" t="s">
        <v>1331</v>
      </c>
      <c r="E1324" s="289" t="s">
        <v>1332</v>
      </c>
      <c r="F1324" s="289" t="s">
        <v>1333</v>
      </c>
      <c r="I1324" s="289" t="s">
        <v>1334</v>
      </c>
    </row>
    <row r="1325" spans="1:9">
      <c r="A1325" s="290">
        <v>212184</v>
      </c>
      <c r="B1325" s="289" t="s">
        <v>630</v>
      </c>
      <c r="C1325" s="289" t="s">
        <v>1041</v>
      </c>
      <c r="D1325" s="289" t="s">
        <v>1335</v>
      </c>
      <c r="E1325" s="289" t="s">
        <v>1336</v>
      </c>
      <c r="F1325" s="289" t="s">
        <v>1337</v>
      </c>
      <c r="I1325" s="289" t="s">
        <v>1338</v>
      </c>
    </row>
    <row r="1326" spans="1:9">
      <c r="A1326" s="290">
        <v>212195</v>
      </c>
      <c r="B1326" s="289" t="s">
        <v>630</v>
      </c>
      <c r="C1326" s="289" t="s">
        <v>1041</v>
      </c>
      <c r="D1326" s="289" t="s">
        <v>1339</v>
      </c>
      <c r="E1326" s="289" t="s">
        <v>1340</v>
      </c>
      <c r="F1326" s="289" t="s">
        <v>1341</v>
      </c>
      <c r="I1326" s="289" t="s">
        <v>1342</v>
      </c>
    </row>
    <row r="1327" spans="1:9">
      <c r="A1327" s="290">
        <v>212207</v>
      </c>
      <c r="B1327" s="289" t="s">
        <v>630</v>
      </c>
      <c r="C1327" s="289" t="s">
        <v>1041</v>
      </c>
      <c r="D1327" s="289" t="s">
        <v>1343</v>
      </c>
      <c r="E1327" s="289" t="s">
        <v>1344</v>
      </c>
      <c r="F1327" s="289" t="s">
        <v>1345</v>
      </c>
      <c r="I1327" s="289" t="s">
        <v>1346</v>
      </c>
    </row>
    <row r="1328" spans="1:9">
      <c r="A1328" s="290">
        <v>212230</v>
      </c>
      <c r="B1328" s="289" t="s">
        <v>630</v>
      </c>
      <c r="C1328" s="289" t="s">
        <v>1041</v>
      </c>
      <c r="D1328" s="289" t="s">
        <v>1347</v>
      </c>
      <c r="E1328" s="289" t="s">
        <v>1348</v>
      </c>
      <c r="F1328" s="289" t="s">
        <v>1349</v>
      </c>
      <c r="I1328" s="289" t="s">
        <v>1350</v>
      </c>
    </row>
    <row r="1329" spans="1:9">
      <c r="A1329" s="290">
        <v>212241</v>
      </c>
      <c r="B1329" s="289" t="s">
        <v>630</v>
      </c>
      <c r="C1329" s="289" t="s">
        <v>1041</v>
      </c>
      <c r="D1329" s="289" t="s">
        <v>1351</v>
      </c>
      <c r="E1329" s="289" t="s">
        <v>1352</v>
      </c>
      <c r="F1329" s="289" t="s">
        <v>1353</v>
      </c>
      <c r="I1329" s="289" t="s">
        <v>1354</v>
      </c>
    </row>
    <row r="1330" spans="1:9">
      <c r="A1330" s="290">
        <v>212252</v>
      </c>
      <c r="B1330" s="289" t="s">
        <v>630</v>
      </c>
      <c r="C1330" s="289" t="s">
        <v>1041</v>
      </c>
      <c r="D1330" s="289" t="s">
        <v>1355</v>
      </c>
      <c r="E1330" s="289" t="s">
        <v>1356</v>
      </c>
      <c r="F1330" s="289" t="s">
        <v>1357</v>
      </c>
      <c r="I1330" s="289" t="s">
        <v>1358</v>
      </c>
    </row>
    <row r="1331" spans="1:9">
      <c r="A1331" s="290">
        <v>212263</v>
      </c>
      <c r="B1331" s="289" t="s">
        <v>630</v>
      </c>
      <c r="C1331" s="289" t="s">
        <v>1041</v>
      </c>
      <c r="D1331" s="289" t="s">
        <v>1359</v>
      </c>
      <c r="E1331" s="289" t="s">
        <v>1360</v>
      </c>
      <c r="F1331" s="289" t="s">
        <v>1361</v>
      </c>
      <c r="I1331" s="289" t="s">
        <v>1362</v>
      </c>
    </row>
    <row r="1332" spans="1:9">
      <c r="A1332" s="290">
        <v>212285</v>
      </c>
      <c r="B1332" s="289" t="s">
        <v>630</v>
      </c>
      <c r="C1332" s="289" t="s">
        <v>1041</v>
      </c>
      <c r="D1332" s="289" t="s">
        <v>1363</v>
      </c>
      <c r="E1332" s="289" t="s">
        <v>1364</v>
      </c>
      <c r="F1332" s="289" t="s">
        <v>1365</v>
      </c>
      <c r="I1332" s="289" t="s">
        <v>1366</v>
      </c>
    </row>
    <row r="1333" spans="1:9">
      <c r="A1333" s="290">
        <v>212331</v>
      </c>
      <c r="B1333" s="289" t="s">
        <v>630</v>
      </c>
      <c r="C1333" s="289" t="s">
        <v>1041</v>
      </c>
      <c r="D1333" s="289" t="s">
        <v>1367</v>
      </c>
      <c r="E1333" s="289" t="s">
        <v>1368</v>
      </c>
      <c r="F1333" s="289" t="s">
        <v>1369</v>
      </c>
      <c r="I1333" s="289" t="s">
        <v>1370</v>
      </c>
    </row>
    <row r="1334" spans="1:9">
      <c r="A1334" s="290">
        <v>212353</v>
      </c>
      <c r="B1334" s="289" t="s">
        <v>630</v>
      </c>
      <c r="C1334" s="289" t="s">
        <v>1041</v>
      </c>
      <c r="D1334" s="289" t="s">
        <v>1371</v>
      </c>
      <c r="E1334" s="289" t="s">
        <v>1372</v>
      </c>
      <c r="F1334" s="289" t="s">
        <v>1373</v>
      </c>
      <c r="I1334" s="289" t="s">
        <v>1374</v>
      </c>
    </row>
    <row r="1335" spans="1:9">
      <c r="A1335" s="290">
        <v>212364</v>
      </c>
      <c r="B1335" s="289" t="s">
        <v>630</v>
      </c>
      <c r="C1335" s="289" t="s">
        <v>1041</v>
      </c>
      <c r="D1335" s="289" t="s">
        <v>1375</v>
      </c>
      <c r="E1335" s="289" t="s">
        <v>1376</v>
      </c>
      <c r="F1335" s="289" t="s">
        <v>1377</v>
      </c>
      <c r="I1335" s="289" t="s">
        <v>1378</v>
      </c>
    </row>
    <row r="1336" spans="1:9">
      <c r="A1336" s="290">
        <v>212386</v>
      </c>
      <c r="B1336" s="289" t="s">
        <v>630</v>
      </c>
      <c r="C1336" s="289" t="s">
        <v>1041</v>
      </c>
      <c r="D1336" s="289" t="s">
        <v>1379</v>
      </c>
      <c r="E1336" s="289" t="s">
        <v>1380</v>
      </c>
      <c r="F1336" s="289" t="s">
        <v>1381</v>
      </c>
      <c r="I1336" s="289" t="s">
        <v>1382</v>
      </c>
    </row>
    <row r="1337" spans="1:9">
      <c r="A1337" s="290">
        <v>212397</v>
      </c>
      <c r="B1337" s="289" t="s">
        <v>630</v>
      </c>
      <c r="C1337" s="289" t="s">
        <v>1041</v>
      </c>
      <c r="D1337" s="289" t="s">
        <v>1383</v>
      </c>
      <c r="E1337" s="289" t="s">
        <v>1384</v>
      </c>
      <c r="F1337" s="289" t="s">
        <v>1385</v>
      </c>
      <c r="I1337" s="289" t="s">
        <v>1386</v>
      </c>
    </row>
    <row r="1338" spans="1:9">
      <c r="A1338" s="290">
        <v>212409</v>
      </c>
      <c r="B1338" s="289" t="s">
        <v>630</v>
      </c>
      <c r="C1338" s="289" t="s">
        <v>1041</v>
      </c>
      <c r="D1338" s="289" t="s">
        <v>1387</v>
      </c>
      <c r="E1338" s="289" t="s">
        <v>1388</v>
      </c>
      <c r="F1338" s="289" t="s">
        <v>1389</v>
      </c>
      <c r="I1338" s="289" t="s">
        <v>1390</v>
      </c>
    </row>
    <row r="1339" spans="1:9">
      <c r="A1339" s="290">
        <v>212465</v>
      </c>
      <c r="B1339" s="289" t="s">
        <v>630</v>
      </c>
      <c r="C1339" s="289" t="s">
        <v>1041</v>
      </c>
      <c r="D1339" s="289" t="s">
        <v>1391</v>
      </c>
      <c r="E1339" s="289" t="s">
        <v>1392</v>
      </c>
      <c r="F1339" s="289" t="s">
        <v>1393</v>
      </c>
      <c r="I1339" s="289" t="s">
        <v>1394</v>
      </c>
    </row>
    <row r="1340" spans="1:9">
      <c r="A1340" s="290">
        <v>212498</v>
      </c>
      <c r="B1340" s="289" t="s">
        <v>630</v>
      </c>
      <c r="C1340" s="289" t="s">
        <v>1041</v>
      </c>
      <c r="D1340" s="289" t="s">
        <v>1395</v>
      </c>
      <c r="E1340" s="289" t="s">
        <v>1396</v>
      </c>
      <c r="F1340" s="289" t="s">
        <v>1397</v>
      </c>
      <c r="I1340" s="289" t="s">
        <v>1398</v>
      </c>
    </row>
    <row r="1341" spans="1:9">
      <c r="A1341" s="290">
        <v>212500</v>
      </c>
      <c r="B1341" s="289" t="s">
        <v>630</v>
      </c>
      <c r="C1341" s="289" t="s">
        <v>1041</v>
      </c>
      <c r="D1341" s="289" t="s">
        <v>1399</v>
      </c>
      <c r="E1341" s="289" t="s">
        <v>1400</v>
      </c>
      <c r="F1341" s="289" t="s">
        <v>1401</v>
      </c>
      <c r="I1341" s="289" t="s">
        <v>1402</v>
      </c>
    </row>
    <row r="1342" spans="1:9">
      <c r="A1342" s="290">
        <v>212533</v>
      </c>
      <c r="B1342" s="289" t="s">
        <v>630</v>
      </c>
      <c r="C1342" s="289" t="s">
        <v>1041</v>
      </c>
      <c r="D1342" s="289" t="s">
        <v>1403</v>
      </c>
      <c r="E1342" s="289" t="s">
        <v>1404</v>
      </c>
      <c r="F1342" s="289" t="s">
        <v>1405</v>
      </c>
      <c r="I1342" s="289" t="s">
        <v>1406</v>
      </c>
    </row>
    <row r="1343" spans="1:9">
      <c r="A1343" s="290">
        <v>212544</v>
      </c>
      <c r="B1343" s="289" t="s">
        <v>630</v>
      </c>
      <c r="C1343" s="289" t="s">
        <v>1041</v>
      </c>
      <c r="D1343" s="289" t="s">
        <v>1407</v>
      </c>
      <c r="E1343" s="289" t="s">
        <v>1408</v>
      </c>
      <c r="F1343" s="289" t="s">
        <v>1409</v>
      </c>
      <c r="I1343" s="289" t="s">
        <v>1410</v>
      </c>
    </row>
    <row r="1344" spans="1:9">
      <c r="A1344" s="290">
        <v>212555</v>
      </c>
      <c r="B1344" s="289" t="s">
        <v>630</v>
      </c>
      <c r="C1344" s="289" t="s">
        <v>1041</v>
      </c>
      <c r="D1344" s="289" t="s">
        <v>1411</v>
      </c>
      <c r="E1344" s="289" t="s">
        <v>1412</v>
      </c>
      <c r="F1344" s="289" t="s">
        <v>1413</v>
      </c>
      <c r="I1344" s="289" t="s">
        <v>1414</v>
      </c>
    </row>
    <row r="1345" spans="1:9">
      <c r="A1345" s="290">
        <v>212566</v>
      </c>
      <c r="B1345" s="289" t="s">
        <v>630</v>
      </c>
      <c r="C1345" s="289" t="s">
        <v>1041</v>
      </c>
      <c r="D1345" s="289" t="s">
        <v>1415</v>
      </c>
      <c r="E1345" s="289" t="s">
        <v>1416</v>
      </c>
      <c r="F1345" s="289" t="s">
        <v>1417</v>
      </c>
      <c r="I1345" s="289" t="s">
        <v>1418</v>
      </c>
    </row>
    <row r="1346" spans="1:9">
      <c r="A1346" s="290">
        <v>212577</v>
      </c>
      <c r="B1346" s="289" t="s">
        <v>630</v>
      </c>
      <c r="C1346" s="289" t="s">
        <v>1041</v>
      </c>
      <c r="D1346" s="289" t="s">
        <v>1419</v>
      </c>
      <c r="E1346" s="289" t="s">
        <v>1420</v>
      </c>
      <c r="F1346" s="289" t="s">
        <v>1421</v>
      </c>
      <c r="I1346" s="289" t="s">
        <v>1422</v>
      </c>
    </row>
    <row r="1347" spans="1:9">
      <c r="A1347" s="290">
        <v>212588</v>
      </c>
      <c r="B1347" s="289" t="s">
        <v>630</v>
      </c>
      <c r="C1347" s="289" t="s">
        <v>1041</v>
      </c>
      <c r="D1347" s="289" t="s">
        <v>1423</v>
      </c>
      <c r="E1347" s="289" t="s">
        <v>1424</v>
      </c>
      <c r="F1347" s="289" t="s">
        <v>1425</v>
      </c>
      <c r="I1347" s="289" t="s">
        <v>1426</v>
      </c>
    </row>
    <row r="1348" spans="1:9">
      <c r="A1348" s="290">
        <v>212599</v>
      </c>
      <c r="B1348" s="289" t="s">
        <v>630</v>
      </c>
      <c r="C1348" s="289" t="s">
        <v>1041</v>
      </c>
      <c r="D1348" s="289" t="s">
        <v>1427</v>
      </c>
      <c r="E1348" s="289" t="s">
        <v>1428</v>
      </c>
      <c r="F1348" s="289" t="s">
        <v>1429</v>
      </c>
      <c r="I1348" s="289" t="s">
        <v>1430</v>
      </c>
    </row>
    <row r="1349" spans="1:9">
      <c r="A1349" s="290">
        <v>212601</v>
      </c>
      <c r="B1349" s="289" t="s">
        <v>630</v>
      </c>
      <c r="C1349" s="289" t="s">
        <v>1041</v>
      </c>
      <c r="D1349" s="289" t="s">
        <v>1431</v>
      </c>
      <c r="E1349" s="289" t="s">
        <v>1432</v>
      </c>
      <c r="F1349" s="289" t="s">
        <v>1433</v>
      </c>
      <c r="I1349" s="289" t="s">
        <v>1434</v>
      </c>
    </row>
    <row r="1350" spans="1:9">
      <c r="A1350" s="290">
        <v>212612</v>
      </c>
      <c r="B1350" s="289" t="s">
        <v>630</v>
      </c>
      <c r="C1350" s="289" t="s">
        <v>1041</v>
      </c>
      <c r="D1350" s="289" t="s">
        <v>1435</v>
      </c>
      <c r="E1350" s="289" t="s">
        <v>1436</v>
      </c>
      <c r="F1350" s="289" t="s">
        <v>1437</v>
      </c>
      <c r="I1350" s="289" t="s">
        <v>1438</v>
      </c>
    </row>
    <row r="1351" spans="1:9">
      <c r="A1351" s="290">
        <v>212623</v>
      </c>
      <c r="B1351" s="289" t="s">
        <v>630</v>
      </c>
      <c r="C1351" s="289" t="s">
        <v>1041</v>
      </c>
      <c r="D1351" s="289" t="s">
        <v>1439</v>
      </c>
      <c r="E1351" s="289" t="s">
        <v>1440</v>
      </c>
      <c r="F1351" s="289" t="s">
        <v>1441</v>
      </c>
      <c r="I1351" s="289" t="s">
        <v>1442</v>
      </c>
    </row>
    <row r="1352" spans="1:9">
      <c r="A1352" s="290">
        <v>217909</v>
      </c>
      <c r="B1352" s="289" t="s">
        <v>630</v>
      </c>
      <c r="C1352" s="289" t="s">
        <v>1041</v>
      </c>
      <c r="D1352" s="289" t="s">
        <v>2085</v>
      </c>
      <c r="E1352" s="289" t="s">
        <v>2086</v>
      </c>
      <c r="F1352" s="289" t="s">
        <v>2087</v>
      </c>
      <c r="I1352" s="289" t="s">
        <v>2088</v>
      </c>
    </row>
    <row r="1353" spans="1:9">
      <c r="A1353" s="290">
        <v>217910</v>
      </c>
      <c r="B1353" s="289" t="s">
        <v>630</v>
      </c>
      <c r="C1353" s="289" t="s">
        <v>1041</v>
      </c>
      <c r="D1353" s="289" t="s">
        <v>2089</v>
      </c>
      <c r="E1353" s="289" t="s">
        <v>2090</v>
      </c>
      <c r="F1353" s="289" t="s">
        <v>2091</v>
      </c>
      <c r="I1353" s="289" t="s">
        <v>2092</v>
      </c>
    </row>
    <row r="1354" spans="1:9">
      <c r="A1354" s="290">
        <v>217921</v>
      </c>
      <c r="B1354" s="289" t="s">
        <v>630</v>
      </c>
      <c r="C1354" s="289" t="s">
        <v>1041</v>
      </c>
      <c r="D1354" s="289" t="s">
        <v>2093</v>
      </c>
      <c r="E1354" s="289" t="s">
        <v>2094</v>
      </c>
      <c r="F1354" s="289" t="s">
        <v>2095</v>
      </c>
      <c r="I1354" s="289" t="s">
        <v>2096</v>
      </c>
    </row>
    <row r="1355" spans="1:9">
      <c r="A1355" s="290">
        <v>217932</v>
      </c>
      <c r="B1355" s="289" t="s">
        <v>630</v>
      </c>
      <c r="C1355" s="289" t="s">
        <v>1041</v>
      </c>
      <c r="D1355" s="289" t="s">
        <v>2097</v>
      </c>
      <c r="E1355" s="289" t="s">
        <v>2098</v>
      </c>
      <c r="F1355" s="289" t="s">
        <v>2099</v>
      </c>
      <c r="I1355" s="289" t="s">
        <v>2100</v>
      </c>
    </row>
    <row r="1356" spans="1:9">
      <c r="A1356" s="290">
        <v>217943</v>
      </c>
      <c r="B1356" s="289" t="s">
        <v>630</v>
      </c>
      <c r="C1356" s="289" t="s">
        <v>1041</v>
      </c>
      <c r="D1356" s="289" t="s">
        <v>2101</v>
      </c>
      <c r="E1356" s="289" t="s">
        <v>2102</v>
      </c>
      <c r="F1356" s="289" t="s">
        <v>2103</v>
      </c>
      <c r="I1356" s="289" t="s">
        <v>2104</v>
      </c>
    </row>
    <row r="1357" spans="1:9">
      <c r="A1357" s="290">
        <v>217954</v>
      </c>
      <c r="B1357" s="289" t="s">
        <v>630</v>
      </c>
      <c r="C1357" s="289" t="s">
        <v>1041</v>
      </c>
      <c r="D1357" s="289" t="s">
        <v>2105</v>
      </c>
      <c r="E1357" s="289" t="s">
        <v>2106</v>
      </c>
      <c r="F1357" s="289" t="s">
        <v>2107</v>
      </c>
      <c r="I1357" s="289" t="s">
        <v>2108</v>
      </c>
    </row>
    <row r="1358" spans="1:9">
      <c r="A1358" s="290">
        <v>217965</v>
      </c>
      <c r="B1358" s="289" t="s">
        <v>630</v>
      </c>
      <c r="C1358" s="289" t="s">
        <v>1041</v>
      </c>
      <c r="D1358" s="289" t="s">
        <v>2109</v>
      </c>
      <c r="E1358" s="289" t="s">
        <v>2110</v>
      </c>
      <c r="F1358" s="289" t="s">
        <v>2111</v>
      </c>
      <c r="I1358" s="289" t="s">
        <v>2112</v>
      </c>
    </row>
    <row r="1359" spans="1:9">
      <c r="A1359" s="290">
        <v>217976</v>
      </c>
      <c r="B1359" s="289" t="s">
        <v>630</v>
      </c>
      <c r="C1359" s="289" t="s">
        <v>1041</v>
      </c>
      <c r="D1359" s="289" t="s">
        <v>2113</v>
      </c>
      <c r="E1359" s="289" t="s">
        <v>2114</v>
      </c>
      <c r="F1359" s="289" t="s">
        <v>2115</v>
      </c>
      <c r="I1359" s="289" t="s">
        <v>2116</v>
      </c>
    </row>
    <row r="1360" spans="1:9">
      <c r="A1360" s="290">
        <v>217987</v>
      </c>
      <c r="B1360" s="289" t="s">
        <v>630</v>
      </c>
      <c r="C1360" s="289" t="s">
        <v>1041</v>
      </c>
      <c r="D1360" s="289" t="s">
        <v>2117</v>
      </c>
      <c r="E1360" s="289" t="s">
        <v>2118</v>
      </c>
      <c r="F1360" s="289" t="s">
        <v>2119</v>
      </c>
      <c r="I1360" s="289" t="s">
        <v>2120</v>
      </c>
    </row>
    <row r="1361" spans="1:9">
      <c r="A1361" s="290">
        <v>217998</v>
      </c>
      <c r="B1361" s="289" t="s">
        <v>630</v>
      </c>
      <c r="C1361" s="289" t="s">
        <v>1041</v>
      </c>
      <c r="D1361" s="289" t="s">
        <v>2121</v>
      </c>
      <c r="E1361" s="289" t="s">
        <v>2122</v>
      </c>
      <c r="F1361" s="289" t="s">
        <v>2123</v>
      </c>
      <c r="I1361" s="289" t="s">
        <v>2124</v>
      </c>
    </row>
    <row r="1362" spans="1:9">
      <c r="A1362" s="290">
        <v>218001</v>
      </c>
      <c r="B1362" s="289" t="s">
        <v>630</v>
      </c>
      <c r="C1362" s="289" t="s">
        <v>1041</v>
      </c>
      <c r="D1362" s="289" t="s">
        <v>2125</v>
      </c>
      <c r="E1362" s="289" t="s">
        <v>2126</v>
      </c>
      <c r="F1362" s="289" t="s">
        <v>2127</v>
      </c>
      <c r="I1362" s="289" t="s">
        <v>2128</v>
      </c>
    </row>
    <row r="1363" spans="1:9">
      <c r="A1363" s="290">
        <v>218012</v>
      </c>
      <c r="B1363" s="289" t="s">
        <v>630</v>
      </c>
      <c r="C1363" s="289" t="s">
        <v>1041</v>
      </c>
      <c r="D1363" s="289" t="s">
        <v>2129</v>
      </c>
      <c r="E1363" s="289" t="s">
        <v>2130</v>
      </c>
      <c r="F1363" s="289" t="s">
        <v>2131</v>
      </c>
      <c r="I1363" s="289" t="s">
        <v>2132</v>
      </c>
    </row>
    <row r="1364" spans="1:9">
      <c r="A1364" s="290">
        <v>218023</v>
      </c>
      <c r="B1364" s="289" t="s">
        <v>630</v>
      </c>
      <c r="C1364" s="289" t="s">
        <v>1041</v>
      </c>
      <c r="D1364" s="289" t="s">
        <v>2133</v>
      </c>
      <c r="E1364" s="289" t="s">
        <v>2134</v>
      </c>
      <c r="F1364" s="289" t="s">
        <v>2135</v>
      </c>
      <c r="I1364" s="289" t="s">
        <v>2136</v>
      </c>
    </row>
    <row r="1365" spans="1:9">
      <c r="A1365" s="290">
        <v>218034</v>
      </c>
      <c r="B1365" s="289" t="s">
        <v>630</v>
      </c>
      <c r="C1365" s="289" t="s">
        <v>1041</v>
      </c>
      <c r="D1365" s="289" t="s">
        <v>2137</v>
      </c>
      <c r="E1365" s="289" t="s">
        <v>2138</v>
      </c>
      <c r="F1365" s="289" t="s">
        <v>2139</v>
      </c>
      <c r="I1365" s="289" t="s">
        <v>2140</v>
      </c>
    </row>
    <row r="1366" spans="1:9">
      <c r="A1366" s="290">
        <v>218045</v>
      </c>
      <c r="B1366" s="289" t="s">
        <v>630</v>
      </c>
      <c r="C1366" s="289" t="s">
        <v>1041</v>
      </c>
      <c r="D1366" s="289" t="s">
        <v>2141</v>
      </c>
      <c r="E1366" s="289" t="s">
        <v>2142</v>
      </c>
      <c r="F1366" s="289" t="s">
        <v>2143</v>
      </c>
      <c r="I1366" s="289" t="s">
        <v>2144</v>
      </c>
    </row>
    <row r="1367" spans="1:9">
      <c r="A1367" s="290">
        <v>218056</v>
      </c>
      <c r="B1367" s="289" t="s">
        <v>630</v>
      </c>
      <c r="C1367" s="289" t="s">
        <v>1041</v>
      </c>
      <c r="D1367" s="289" t="s">
        <v>2145</v>
      </c>
      <c r="E1367" s="289" t="s">
        <v>2146</v>
      </c>
      <c r="F1367" s="289" t="s">
        <v>2147</v>
      </c>
      <c r="I1367" s="289" t="s">
        <v>2148</v>
      </c>
    </row>
    <row r="1368" spans="1:9">
      <c r="A1368" s="290">
        <v>218067</v>
      </c>
      <c r="B1368" s="289" t="s">
        <v>630</v>
      </c>
      <c r="C1368" s="289" t="s">
        <v>1041</v>
      </c>
      <c r="D1368" s="289" t="s">
        <v>2149</v>
      </c>
      <c r="E1368" s="289" t="s">
        <v>2150</v>
      </c>
      <c r="F1368" s="289" t="s">
        <v>2151</v>
      </c>
      <c r="I1368" s="289" t="s">
        <v>2152</v>
      </c>
    </row>
    <row r="1369" spans="1:9">
      <c r="A1369" s="290">
        <v>218078</v>
      </c>
      <c r="B1369" s="289" t="s">
        <v>630</v>
      </c>
      <c r="C1369" s="289" t="s">
        <v>1041</v>
      </c>
      <c r="D1369" s="289" t="s">
        <v>2153</v>
      </c>
      <c r="E1369" s="289" t="s">
        <v>2154</v>
      </c>
      <c r="F1369" s="289" t="s">
        <v>2155</v>
      </c>
      <c r="I1369" s="289" t="s">
        <v>2156</v>
      </c>
    </row>
    <row r="1370" spans="1:9">
      <c r="A1370" s="290">
        <v>218089</v>
      </c>
      <c r="B1370" s="289" t="s">
        <v>630</v>
      </c>
      <c r="C1370" s="289" t="s">
        <v>1041</v>
      </c>
      <c r="D1370" s="289" t="s">
        <v>2157</v>
      </c>
      <c r="E1370" s="289" t="s">
        <v>2158</v>
      </c>
      <c r="F1370" s="289" t="s">
        <v>4917</v>
      </c>
      <c r="I1370" s="289" t="s">
        <v>2159</v>
      </c>
    </row>
    <row r="1371" spans="1:9">
      <c r="A1371" s="290">
        <v>218090</v>
      </c>
      <c r="B1371" s="289" t="s">
        <v>630</v>
      </c>
      <c r="C1371" s="289" t="s">
        <v>1041</v>
      </c>
      <c r="D1371" s="289" t="s">
        <v>2160</v>
      </c>
      <c r="E1371" s="289" t="s">
        <v>2161</v>
      </c>
      <c r="F1371" s="289" t="s">
        <v>2162</v>
      </c>
      <c r="I1371" s="289" t="s">
        <v>2163</v>
      </c>
    </row>
    <row r="1372" spans="1:9">
      <c r="A1372" s="290">
        <v>218102</v>
      </c>
      <c r="B1372" s="289" t="s">
        <v>630</v>
      </c>
      <c r="C1372" s="289" t="s">
        <v>1041</v>
      </c>
      <c r="D1372" s="289" t="s">
        <v>2164</v>
      </c>
      <c r="E1372" s="289" t="s">
        <v>2165</v>
      </c>
      <c r="F1372" s="289" t="s">
        <v>2166</v>
      </c>
      <c r="I1372" s="289" t="s">
        <v>2167</v>
      </c>
    </row>
    <row r="1373" spans="1:9">
      <c r="A1373" s="290">
        <v>218113</v>
      </c>
      <c r="B1373" s="289" t="s">
        <v>630</v>
      </c>
      <c r="C1373" s="289" t="s">
        <v>1041</v>
      </c>
      <c r="D1373" s="289" t="s">
        <v>2168</v>
      </c>
      <c r="E1373" s="289" t="s">
        <v>2169</v>
      </c>
      <c r="F1373" s="289" t="s">
        <v>2170</v>
      </c>
      <c r="I1373" s="289" t="s">
        <v>2171</v>
      </c>
    </row>
    <row r="1374" spans="1:9">
      <c r="A1374" s="290">
        <v>218135</v>
      </c>
      <c r="B1374" s="289" t="s">
        <v>630</v>
      </c>
      <c r="C1374" s="289" t="s">
        <v>1041</v>
      </c>
      <c r="D1374" s="289" t="s">
        <v>2172</v>
      </c>
      <c r="E1374" s="289" t="s">
        <v>2173</v>
      </c>
      <c r="F1374" s="289" t="s">
        <v>2174</v>
      </c>
      <c r="I1374" s="289" t="s">
        <v>2175</v>
      </c>
    </row>
    <row r="1375" spans="1:9">
      <c r="A1375" s="290">
        <v>218146</v>
      </c>
      <c r="B1375" s="289" t="s">
        <v>630</v>
      </c>
      <c r="C1375" s="289" t="s">
        <v>1041</v>
      </c>
      <c r="D1375" s="289" t="s">
        <v>2176</v>
      </c>
      <c r="E1375" s="289" t="s">
        <v>2177</v>
      </c>
      <c r="F1375" s="289" t="s">
        <v>2178</v>
      </c>
      <c r="I1375" s="289" t="s">
        <v>2179</v>
      </c>
    </row>
    <row r="1376" spans="1:9">
      <c r="A1376" s="290">
        <v>218157</v>
      </c>
      <c r="B1376" s="289" t="s">
        <v>630</v>
      </c>
      <c r="C1376" s="289" t="s">
        <v>1041</v>
      </c>
      <c r="D1376" s="289" t="s">
        <v>2180</v>
      </c>
      <c r="E1376" s="289" t="s">
        <v>2181</v>
      </c>
      <c r="F1376" s="289" t="s">
        <v>2182</v>
      </c>
      <c r="I1376" s="289" t="s">
        <v>2183</v>
      </c>
    </row>
    <row r="1377" spans="1:9">
      <c r="A1377" s="290">
        <v>218168</v>
      </c>
      <c r="B1377" s="289" t="s">
        <v>630</v>
      </c>
      <c r="C1377" s="289" t="s">
        <v>1041</v>
      </c>
      <c r="D1377" s="289" t="s">
        <v>2184</v>
      </c>
      <c r="E1377" s="289" t="s">
        <v>2185</v>
      </c>
      <c r="F1377" s="289" t="s">
        <v>2186</v>
      </c>
      <c r="I1377" s="289" t="s">
        <v>2187</v>
      </c>
    </row>
    <row r="1378" spans="1:9">
      <c r="A1378" s="290">
        <v>218179</v>
      </c>
      <c r="B1378" s="289" t="s">
        <v>630</v>
      </c>
      <c r="C1378" s="289" t="s">
        <v>1041</v>
      </c>
      <c r="D1378" s="289" t="s">
        <v>2188</v>
      </c>
      <c r="E1378" s="289" t="s">
        <v>2189</v>
      </c>
      <c r="F1378" s="289" t="s">
        <v>2190</v>
      </c>
      <c r="I1378" s="289" t="s">
        <v>2191</v>
      </c>
    </row>
    <row r="1379" spans="1:9">
      <c r="A1379" s="290">
        <v>218180</v>
      </c>
      <c r="B1379" s="289" t="s">
        <v>630</v>
      </c>
      <c r="C1379" s="289" t="s">
        <v>1041</v>
      </c>
      <c r="D1379" s="289" t="s">
        <v>2192</v>
      </c>
      <c r="E1379" s="289" t="s">
        <v>2193</v>
      </c>
      <c r="F1379" s="289" t="s">
        <v>2194</v>
      </c>
      <c r="I1379" s="289" t="s">
        <v>2195</v>
      </c>
    </row>
    <row r="1380" spans="1:9">
      <c r="A1380" s="290">
        <v>218191</v>
      </c>
      <c r="B1380" s="289" t="s">
        <v>630</v>
      </c>
      <c r="C1380" s="289" t="s">
        <v>1041</v>
      </c>
      <c r="D1380" s="289" t="s">
        <v>4704</v>
      </c>
      <c r="E1380" s="289" t="s">
        <v>4705</v>
      </c>
      <c r="F1380" s="289" t="s">
        <v>2196</v>
      </c>
      <c r="I1380" s="289" t="s">
        <v>2197</v>
      </c>
    </row>
    <row r="1381" spans="1:9">
      <c r="A1381" s="290">
        <v>218203</v>
      </c>
      <c r="B1381" s="289" t="s">
        <v>630</v>
      </c>
      <c r="C1381" s="289" t="s">
        <v>1041</v>
      </c>
      <c r="D1381" s="289" t="s">
        <v>2198</v>
      </c>
      <c r="E1381" s="289" t="s">
        <v>2199</v>
      </c>
      <c r="F1381" s="289" t="s">
        <v>4706</v>
      </c>
      <c r="I1381" s="289" t="s">
        <v>2200</v>
      </c>
    </row>
    <row r="1382" spans="1:9">
      <c r="A1382" s="290">
        <v>218214</v>
      </c>
      <c r="B1382" s="289" t="s">
        <v>630</v>
      </c>
      <c r="C1382" s="289" t="s">
        <v>1041</v>
      </c>
      <c r="D1382" s="289" t="s">
        <v>2201</v>
      </c>
      <c r="E1382" s="289" t="s">
        <v>2202</v>
      </c>
      <c r="F1382" s="289" t="s">
        <v>2203</v>
      </c>
      <c r="I1382" s="289" t="s">
        <v>2204</v>
      </c>
    </row>
    <row r="1383" spans="1:9">
      <c r="A1383" s="290">
        <v>218225</v>
      </c>
      <c r="B1383" s="289" t="s">
        <v>630</v>
      </c>
      <c r="C1383" s="289" t="s">
        <v>1041</v>
      </c>
      <c r="D1383" s="289" t="s">
        <v>2205</v>
      </c>
      <c r="E1383" s="289" t="s">
        <v>2206</v>
      </c>
      <c r="F1383" s="289" t="s">
        <v>2207</v>
      </c>
      <c r="I1383" s="289" t="s">
        <v>2208</v>
      </c>
    </row>
    <row r="1384" spans="1:9">
      <c r="A1384" s="290">
        <v>218247</v>
      </c>
      <c r="B1384" s="289" t="s">
        <v>630</v>
      </c>
      <c r="C1384" s="289" t="s">
        <v>1041</v>
      </c>
      <c r="D1384" s="289" t="s">
        <v>2209</v>
      </c>
      <c r="E1384" s="289" t="s">
        <v>2210</v>
      </c>
      <c r="F1384" s="289" t="s">
        <v>2211</v>
      </c>
      <c r="I1384" s="289" t="s">
        <v>2212</v>
      </c>
    </row>
    <row r="1385" spans="1:9">
      <c r="A1385" s="290">
        <v>218258</v>
      </c>
      <c r="B1385" s="289" t="s">
        <v>630</v>
      </c>
      <c r="C1385" s="289" t="s">
        <v>1041</v>
      </c>
      <c r="D1385" s="289" t="s">
        <v>2213</v>
      </c>
      <c r="E1385" s="289" t="s">
        <v>2214</v>
      </c>
      <c r="F1385" s="289" t="s">
        <v>2215</v>
      </c>
      <c r="I1385" s="289" t="s">
        <v>2216</v>
      </c>
    </row>
    <row r="1386" spans="1:9">
      <c r="A1386" s="290">
        <v>218269</v>
      </c>
      <c r="B1386" s="289" t="s">
        <v>630</v>
      </c>
      <c r="C1386" s="289" t="s">
        <v>1041</v>
      </c>
      <c r="D1386" s="289" t="s">
        <v>2217</v>
      </c>
      <c r="E1386" s="289" t="s">
        <v>2218</v>
      </c>
      <c r="F1386" s="289" t="s">
        <v>2219</v>
      </c>
      <c r="I1386" s="289" t="s">
        <v>2220</v>
      </c>
    </row>
    <row r="1387" spans="1:9">
      <c r="A1387" s="290">
        <v>218281</v>
      </c>
      <c r="B1387" s="289" t="s">
        <v>630</v>
      </c>
      <c r="C1387" s="289" t="s">
        <v>1041</v>
      </c>
      <c r="D1387" s="289" t="s">
        <v>2221</v>
      </c>
      <c r="E1387" s="289" t="s">
        <v>2222</v>
      </c>
      <c r="F1387" s="289" t="s">
        <v>2223</v>
      </c>
      <c r="I1387" s="289" t="s">
        <v>2224</v>
      </c>
    </row>
    <row r="1388" spans="1:9">
      <c r="A1388" s="290">
        <v>218304</v>
      </c>
      <c r="B1388" s="289" t="s">
        <v>630</v>
      </c>
      <c r="C1388" s="289" t="s">
        <v>1041</v>
      </c>
      <c r="D1388" s="289" t="s">
        <v>2225</v>
      </c>
      <c r="E1388" s="289" t="s">
        <v>2226</v>
      </c>
      <c r="F1388" s="289" t="s">
        <v>2227</v>
      </c>
      <c r="I1388" s="289" t="s">
        <v>2228</v>
      </c>
    </row>
    <row r="1389" spans="1:9">
      <c r="A1389" s="290">
        <v>218315</v>
      </c>
      <c r="B1389" s="289" t="s">
        <v>630</v>
      </c>
      <c r="C1389" s="289" t="s">
        <v>1041</v>
      </c>
      <c r="D1389" s="289" t="s">
        <v>2229</v>
      </c>
      <c r="E1389" s="289" t="s">
        <v>2230</v>
      </c>
      <c r="F1389" s="289" t="s">
        <v>2231</v>
      </c>
      <c r="I1389" s="289" t="s">
        <v>2232</v>
      </c>
    </row>
    <row r="1390" spans="1:9">
      <c r="A1390" s="290">
        <v>218326</v>
      </c>
      <c r="B1390" s="289" t="s">
        <v>630</v>
      </c>
      <c r="C1390" s="289" t="s">
        <v>1041</v>
      </c>
      <c r="D1390" s="289" t="s">
        <v>2233</v>
      </c>
      <c r="E1390" s="289" t="s">
        <v>2234</v>
      </c>
      <c r="F1390" s="289" t="s">
        <v>2235</v>
      </c>
      <c r="I1390" s="289" t="s">
        <v>2236</v>
      </c>
    </row>
    <row r="1391" spans="1:9">
      <c r="A1391" s="290">
        <v>218337</v>
      </c>
      <c r="B1391" s="289" t="s">
        <v>630</v>
      </c>
      <c r="C1391" s="289" t="s">
        <v>1041</v>
      </c>
      <c r="D1391" s="289" t="s">
        <v>2237</v>
      </c>
      <c r="E1391" s="289" t="s">
        <v>2238</v>
      </c>
      <c r="F1391" s="289" t="s">
        <v>2239</v>
      </c>
      <c r="I1391" s="289" t="s">
        <v>2240</v>
      </c>
    </row>
    <row r="1392" spans="1:9">
      <c r="A1392" s="290">
        <v>218359</v>
      </c>
      <c r="B1392" s="289" t="s">
        <v>630</v>
      </c>
      <c r="C1392" s="289" t="s">
        <v>1041</v>
      </c>
      <c r="D1392" s="289" t="s">
        <v>2241</v>
      </c>
      <c r="E1392" s="289" t="s">
        <v>2242</v>
      </c>
      <c r="F1392" s="289" t="s">
        <v>2243</v>
      </c>
      <c r="I1392" s="289" t="s">
        <v>2244</v>
      </c>
    </row>
    <row r="1393" spans="1:9">
      <c r="A1393" s="290">
        <v>218360</v>
      </c>
      <c r="B1393" s="289" t="s">
        <v>630</v>
      </c>
      <c r="C1393" s="289" t="s">
        <v>1041</v>
      </c>
      <c r="D1393" s="289" t="s">
        <v>2245</v>
      </c>
      <c r="E1393" s="289" t="s">
        <v>2246</v>
      </c>
      <c r="F1393" s="289" t="s">
        <v>2247</v>
      </c>
      <c r="I1393" s="289" t="s">
        <v>2248</v>
      </c>
    </row>
    <row r="1394" spans="1:9">
      <c r="A1394" s="290">
        <v>218371</v>
      </c>
      <c r="B1394" s="289" t="s">
        <v>630</v>
      </c>
      <c r="C1394" s="289" t="s">
        <v>1041</v>
      </c>
      <c r="D1394" s="289" t="s">
        <v>2249</v>
      </c>
      <c r="E1394" s="289" t="s">
        <v>2250</v>
      </c>
      <c r="F1394" s="289" t="s">
        <v>2251</v>
      </c>
      <c r="I1394" s="289" t="s">
        <v>2252</v>
      </c>
    </row>
    <row r="1395" spans="1:9">
      <c r="A1395" s="290">
        <v>218393</v>
      </c>
      <c r="B1395" s="289" t="s">
        <v>630</v>
      </c>
      <c r="C1395" s="289" t="s">
        <v>1041</v>
      </c>
      <c r="D1395" s="289" t="s">
        <v>2253</v>
      </c>
      <c r="E1395" s="289" t="s">
        <v>2254</v>
      </c>
      <c r="F1395" s="289" t="s">
        <v>2255</v>
      </c>
      <c r="I1395" s="289" t="s">
        <v>2256</v>
      </c>
    </row>
    <row r="1396" spans="1:9">
      <c r="A1396" s="290">
        <v>218405</v>
      </c>
      <c r="B1396" s="289" t="s">
        <v>630</v>
      </c>
      <c r="C1396" s="289" t="s">
        <v>1041</v>
      </c>
      <c r="D1396" s="289" t="s">
        <v>2257</v>
      </c>
      <c r="E1396" s="289" t="s">
        <v>2258</v>
      </c>
      <c r="F1396" s="289" t="s">
        <v>2259</v>
      </c>
      <c r="I1396" s="289" t="s">
        <v>2260</v>
      </c>
    </row>
    <row r="1397" spans="1:9">
      <c r="A1397" s="290">
        <v>218416</v>
      </c>
      <c r="B1397" s="289" t="s">
        <v>630</v>
      </c>
      <c r="C1397" s="289" t="s">
        <v>1041</v>
      </c>
      <c r="D1397" s="289" t="s">
        <v>2261</v>
      </c>
      <c r="E1397" s="289" t="s">
        <v>2262</v>
      </c>
      <c r="F1397" s="289" t="s">
        <v>2263</v>
      </c>
      <c r="I1397" s="289" t="s">
        <v>2264</v>
      </c>
    </row>
    <row r="1398" spans="1:9">
      <c r="A1398" s="290">
        <v>218427</v>
      </c>
      <c r="B1398" s="289" t="s">
        <v>630</v>
      </c>
      <c r="C1398" s="289" t="s">
        <v>1041</v>
      </c>
      <c r="D1398" s="289" t="s">
        <v>4918</v>
      </c>
      <c r="E1398" s="289" t="s">
        <v>4919</v>
      </c>
      <c r="F1398" s="289" t="s">
        <v>4920</v>
      </c>
      <c r="I1398" s="289" t="s">
        <v>4921</v>
      </c>
    </row>
    <row r="1399" spans="1:9">
      <c r="A1399" s="290">
        <v>218438</v>
      </c>
      <c r="B1399" s="289" t="s">
        <v>630</v>
      </c>
      <c r="C1399" s="289" t="s">
        <v>1041</v>
      </c>
      <c r="D1399" s="289" t="s">
        <v>2265</v>
      </c>
      <c r="E1399" s="289" t="s">
        <v>2266</v>
      </c>
      <c r="F1399" s="289" t="s">
        <v>2267</v>
      </c>
      <c r="I1399" s="289" t="s">
        <v>2268</v>
      </c>
    </row>
    <row r="1400" spans="1:9">
      <c r="A1400" s="290">
        <v>218449</v>
      </c>
      <c r="B1400" s="289" t="s">
        <v>630</v>
      </c>
      <c r="C1400" s="289" t="s">
        <v>1041</v>
      </c>
      <c r="D1400" s="289" t="s">
        <v>2269</v>
      </c>
      <c r="E1400" s="289" t="s">
        <v>2270</v>
      </c>
      <c r="F1400" s="289" t="s">
        <v>2271</v>
      </c>
      <c r="I1400" s="289" t="s">
        <v>2272</v>
      </c>
    </row>
    <row r="1401" spans="1:9">
      <c r="A1401" s="290">
        <v>218450</v>
      </c>
      <c r="B1401" s="289" t="s">
        <v>630</v>
      </c>
      <c r="C1401" s="289" t="s">
        <v>1041</v>
      </c>
      <c r="D1401" s="289" t="s">
        <v>2273</v>
      </c>
      <c r="E1401" s="289" t="s">
        <v>2274</v>
      </c>
      <c r="F1401" s="289" t="s">
        <v>2275</v>
      </c>
      <c r="I1401" s="289" t="s">
        <v>2276</v>
      </c>
    </row>
    <row r="1402" spans="1:9">
      <c r="A1402" s="290">
        <v>218461</v>
      </c>
      <c r="B1402" s="289" t="s">
        <v>630</v>
      </c>
      <c r="C1402" s="289" t="s">
        <v>1041</v>
      </c>
      <c r="D1402" s="289" t="s">
        <v>2277</v>
      </c>
      <c r="E1402" s="289" t="s">
        <v>2278</v>
      </c>
      <c r="F1402" s="289" t="s">
        <v>2279</v>
      </c>
      <c r="I1402" s="289" t="s">
        <v>2280</v>
      </c>
    </row>
    <row r="1403" spans="1:9">
      <c r="A1403" s="290">
        <v>218483</v>
      </c>
      <c r="B1403" s="289" t="s">
        <v>630</v>
      </c>
      <c r="C1403" s="289" t="s">
        <v>1041</v>
      </c>
      <c r="D1403" s="289" t="s">
        <v>2281</v>
      </c>
      <c r="E1403" s="289" t="s">
        <v>2282</v>
      </c>
      <c r="F1403" s="289" t="s">
        <v>2283</v>
      </c>
      <c r="I1403" s="289" t="s">
        <v>2284</v>
      </c>
    </row>
    <row r="1404" spans="1:9">
      <c r="A1404" s="290">
        <v>218494</v>
      </c>
      <c r="B1404" s="289" t="s">
        <v>630</v>
      </c>
      <c r="C1404" s="289" t="s">
        <v>1041</v>
      </c>
      <c r="D1404" s="289" t="s">
        <v>4922</v>
      </c>
      <c r="E1404" s="289" t="s">
        <v>4923</v>
      </c>
      <c r="F1404" s="289" t="s">
        <v>4924</v>
      </c>
      <c r="I1404" s="289" t="s">
        <v>4925</v>
      </c>
    </row>
    <row r="1405" spans="1:9">
      <c r="A1405" s="290">
        <v>218506</v>
      </c>
      <c r="B1405" s="289" t="s">
        <v>630</v>
      </c>
      <c r="C1405" s="289" t="s">
        <v>1041</v>
      </c>
      <c r="D1405" s="289" t="s">
        <v>2285</v>
      </c>
      <c r="E1405" s="289" t="s">
        <v>2286</v>
      </c>
      <c r="F1405" s="289" t="s">
        <v>2287</v>
      </c>
      <c r="I1405" s="289" t="s">
        <v>2288</v>
      </c>
    </row>
    <row r="1406" spans="1:9">
      <c r="A1406" s="290">
        <v>218517</v>
      </c>
      <c r="B1406" s="289" t="s">
        <v>630</v>
      </c>
      <c r="C1406" s="289" t="s">
        <v>1041</v>
      </c>
      <c r="D1406" s="289" t="s">
        <v>2289</v>
      </c>
      <c r="E1406" s="289" t="s">
        <v>2290</v>
      </c>
      <c r="F1406" s="289" t="s">
        <v>2291</v>
      </c>
      <c r="I1406" s="289" t="s">
        <v>2292</v>
      </c>
    </row>
    <row r="1407" spans="1:9">
      <c r="A1407" s="290">
        <v>218528</v>
      </c>
      <c r="B1407" s="289" t="s">
        <v>630</v>
      </c>
      <c r="C1407" s="289" t="s">
        <v>1041</v>
      </c>
      <c r="D1407" s="289" t="s">
        <v>2293</v>
      </c>
      <c r="E1407" s="289" t="s">
        <v>2294</v>
      </c>
      <c r="F1407" s="289" t="s">
        <v>2295</v>
      </c>
      <c r="I1407" s="289" t="s">
        <v>2296</v>
      </c>
    </row>
    <row r="1408" spans="1:9">
      <c r="A1408" s="290">
        <v>218540</v>
      </c>
      <c r="B1408" s="289" t="s">
        <v>630</v>
      </c>
      <c r="C1408" s="289" t="s">
        <v>1041</v>
      </c>
      <c r="D1408" s="289" t="s">
        <v>2297</v>
      </c>
      <c r="E1408" s="289" t="s">
        <v>2298</v>
      </c>
      <c r="F1408" s="289" t="s">
        <v>2299</v>
      </c>
      <c r="I1408" s="289" t="s">
        <v>2300</v>
      </c>
    </row>
    <row r="1409" spans="1:9">
      <c r="A1409" s="290">
        <v>218551</v>
      </c>
      <c r="B1409" s="289" t="s">
        <v>630</v>
      </c>
      <c r="C1409" s="289" t="s">
        <v>1041</v>
      </c>
      <c r="D1409" s="289" t="s">
        <v>2301</v>
      </c>
      <c r="E1409" s="289" t="s">
        <v>2302</v>
      </c>
      <c r="F1409" s="289" t="s">
        <v>2303</v>
      </c>
      <c r="I1409" s="289" t="s">
        <v>2304</v>
      </c>
    </row>
    <row r="1410" spans="1:9">
      <c r="A1410" s="290">
        <v>218573</v>
      </c>
      <c r="B1410" s="289" t="s">
        <v>630</v>
      </c>
      <c r="C1410" s="289" t="s">
        <v>1041</v>
      </c>
      <c r="D1410" s="289" t="s">
        <v>2305</v>
      </c>
      <c r="E1410" s="289" t="s">
        <v>2306</v>
      </c>
      <c r="F1410" s="289" t="s">
        <v>2307</v>
      </c>
      <c r="I1410" s="289" t="s">
        <v>2308</v>
      </c>
    </row>
    <row r="1411" spans="1:9">
      <c r="A1411" s="290">
        <v>218595</v>
      </c>
      <c r="B1411" s="289" t="s">
        <v>630</v>
      </c>
      <c r="C1411" s="289" t="s">
        <v>1041</v>
      </c>
      <c r="D1411" s="289" t="s">
        <v>2309</v>
      </c>
      <c r="E1411" s="289" t="s">
        <v>2310</v>
      </c>
      <c r="F1411" s="289" t="s">
        <v>2311</v>
      </c>
      <c r="I1411" s="289" t="s">
        <v>2312</v>
      </c>
    </row>
    <row r="1412" spans="1:9">
      <c r="A1412" s="290">
        <v>218607</v>
      </c>
      <c r="B1412" s="289" t="s">
        <v>630</v>
      </c>
      <c r="C1412" s="289" t="s">
        <v>1041</v>
      </c>
      <c r="D1412" s="289" t="s">
        <v>2313</v>
      </c>
      <c r="E1412" s="289" t="s">
        <v>2314</v>
      </c>
      <c r="F1412" s="289" t="s">
        <v>2315</v>
      </c>
      <c r="I1412" s="289" t="s">
        <v>2316</v>
      </c>
    </row>
    <row r="1413" spans="1:9">
      <c r="A1413" s="290">
        <v>218618</v>
      </c>
      <c r="B1413" s="289" t="s">
        <v>630</v>
      </c>
      <c r="C1413" s="289" t="s">
        <v>1041</v>
      </c>
      <c r="D1413" s="289" t="s">
        <v>2317</v>
      </c>
      <c r="E1413" s="289" t="s">
        <v>2318</v>
      </c>
      <c r="F1413" s="289" t="s">
        <v>2319</v>
      </c>
      <c r="I1413" s="289" t="s">
        <v>2320</v>
      </c>
    </row>
    <row r="1414" spans="1:9">
      <c r="A1414" s="290">
        <v>218629</v>
      </c>
      <c r="B1414" s="289" t="s">
        <v>630</v>
      </c>
      <c r="C1414" s="289" t="s">
        <v>1041</v>
      </c>
      <c r="D1414" s="289" t="s">
        <v>2321</v>
      </c>
      <c r="E1414" s="289" t="s">
        <v>2322</v>
      </c>
      <c r="F1414" s="289" t="s">
        <v>2323</v>
      </c>
      <c r="I1414" s="289" t="s">
        <v>2324</v>
      </c>
    </row>
    <row r="1415" spans="1:9">
      <c r="A1415" s="290">
        <v>218630</v>
      </c>
      <c r="B1415" s="289" t="s">
        <v>630</v>
      </c>
      <c r="C1415" s="289" t="s">
        <v>1041</v>
      </c>
      <c r="D1415" s="289" t="s">
        <v>2325</v>
      </c>
      <c r="E1415" s="289" t="s">
        <v>2326</v>
      </c>
      <c r="F1415" s="289" t="s">
        <v>2327</v>
      </c>
      <c r="I1415" s="289" t="s">
        <v>2328</v>
      </c>
    </row>
    <row r="1416" spans="1:9">
      <c r="A1416" s="290">
        <v>218641</v>
      </c>
      <c r="B1416" s="289" t="s">
        <v>630</v>
      </c>
      <c r="C1416" s="289" t="s">
        <v>1041</v>
      </c>
      <c r="D1416" s="289" t="s">
        <v>2329</v>
      </c>
      <c r="E1416" s="289" t="s">
        <v>2330</v>
      </c>
      <c r="F1416" s="289" t="s">
        <v>2331</v>
      </c>
      <c r="I1416" s="289" t="s">
        <v>2332</v>
      </c>
    </row>
    <row r="1417" spans="1:9">
      <c r="A1417" s="290">
        <v>218652</v>
      </c>
      <c r="B1417" s="289" t="s">
        <v>630</v>
      </c>
      <c r="C1417" s="289" t="s">
        <v>1041</v>
      </c>
      <c r="D1417" s="289" t="s">
        <v>2333</v>
      </c>
      <c r="E1417" s="289" t="s">
        <v>2334</v>
      </c>
      <c r="F1417" s="289" t="s">
        <v>2335</v>
      </c>
      <c r="I1417" s="289" t="s">
        <v>2336</v>
      </c>
    </row>
    <row r="1418" spans="1:9">
      <c r="A1418" s="290">
        <v>218674</v>
      </c>
      <c r="B1418" s="289" t="s">
        <v>630</v>
      </c>
      <c r="C1418" s="289" t="s">
        <v>1041</v>
      </c>
      <c r="D1418" s="289" t="s">
        <v>2337</v>
      </c>
      <c r="E1418" s="289" t="s">
        <v>2338</v>
      </c>
      <c r="F1418" s="289" t="s">
        <v>2339</v>
      </c>
      <c r="I1418" s="289" t="s">
        <v>2340</v>
      </c>
    </row>
    <row r="1419" spans="1:9">
      <c r="A1419" s="290">
        <v>218685</v>
      </c>
      <c r="B1419" s="289" t="s">
        <v>630</v>
      </c>
      <c r="C1419" s="289" t="s">
        <v>1041</v>
      </c>
      <c r="D1419" s="289" t="s">
        <v>2341</v>
      </c>
      <c r="E1419" s="289" t="s">
        <v>2342</v>
      </c>
      <c r="F1419" s="289" t="s">
        <v>2343</v>
      </c>
      <c r="I1419" s="289" t="s">
        <v>2344</v>
      </c>
    </row>
    <row r="1420" spans="1:9">
      <c r="A1420" s="290">
        <v>218708</v>
      </c>
      <c r="B1420" s="289" t="s">
        <v>630</v>
      </c>
      <c r="C1420" s="289" t="s">
        <v>1041</v>
      </c>
      <c r="D1420" s="289" t="s">
        <v>2345</v>
      </c>
      <c r="E1420" s="289" t="s">
        <v>2346</v>
      </c>
      <c r="F1420" s="289" t="s">
        <v>2347</v>
      </c>
      <c r="I1420" s="289" t="s">
        <v>2348</v>
      </c>
    </row>
    <row r="1421" spans="1:9">
      <c r="A1421" s="290">
        <v>218720</v>
      </c>
      <c r="B1421" s="289" t="s">
        <v>630</v>
      </c>
      <c r="C1421" s="289" t="s">
        <v>1041</v>
      </c>
      <c r="D1421" s="289" t="s">
        <v>2349</v>
      </c>
      <c r="E1421" s="289" t="s">
        <v>2350</v>
      </c>
      <c r="F1421" s="289" t="s">
        <v>2351</v>
      </c>
      <c r="I1421" s="289" t="s">
        <v>2352</v>
      </c>
    </row>
    <row r="1422" spans="1:9">
      <c r="A1422" s="290">
        <v>218731</v>
      </c>
      <c r="B1422" s="289" t="s">
        <v>630</v>
      </c>
      <c r="C1422" s="289" t="s">
        <v>1041</v>
      </c>
      <c r="D1422" s="289" t="s">
        <v>2353</v>
      </c>
      <c r="E1422" s="289" t="s">
        <v>2354</v>
      </c>
      <c r="F1422" s="289" t="s">
        <v>2355</v>
      </c>
      <c r="I1422" s="289" t="s">
        <v>2356</v>
      </c>
    </row>
    <row r="1423" spans="1:9">
      <c r="A1423" s="290">
        <v>218786</v>
      </c>
      <c r="B1423" s="289" t="s">
        <v>630</v>
      </c>
      <c r="C1423" s="289" t="s">
        <v>1041</v>
      </c>
      <c r="D1423" s="289" t="s">
        <v>2357</v>
      </c>
      <c r="E1423" s="289" t="s">
        <v>2358</v>
      </c>
      <c r="F1423" s="289" t="s">
        <v>2359</v>
      </c>
      <c r="I1423" s="289" t="s">
        <v>2360</v>
      </c>
    </row>
    <row r="1424" spans="1:9">
      <c r="A1424" s="290">
        <v>218832</v>
      </c>
      <c r="B1424" s="289" t="s">
        <v>630</v>
      </c>
      <c r="C1424" s="289" t="s">
        <v>1041</v>
      </c>
      <c r="D1424" s="289" t="s">
        <v>2361</v>
      </c>
      <c r="E1424" s="289" t="s">
        <v>2362</v>
      </c>
      <c r="F1424" s="289" t="s">
        <v>2363</v>
      </c>
      <c r="I1424" s="289" t="s">
        <v>2364</v>
      </c>
    </row>
    <row r="1425" spans="1:9">
      <c r="A1425" s="290">
        <v>218854</v>
      </c>
      <c r="B1425" s="289" t="s">
        <v>630</v>
      </c>
      <c r="C1425" s="289" t="s">
        <v>1041</v>
      </c>
      <c r="D1425" s="289" t="s">
        <v>2365</v>
      </c>
      <c r="E1425" s="289" t="s">
        <v>2366</v>
      </c>
      <c r="F1425" s="289" t="s">
        <v>2367</v>
      </c>
      <c r="I1425" s="289" t="s">
        <v>2368</v>
      </c>
    </row>
    <row r="1426" spans="1:9">
      <c r="A1426" s="290">
        <v>218887</v>
      </c>
      <c r="B1426" s="289" t="s">
        <v>630</v>
      </c>
      <c r="C1426" s="289" t="s">
        <v>1041</v>
      </c>
      <c r="D1426" s="289" t="s">
        <v>2369</v>
      </c>
      <c r="E1426" s="289" t="s">
        <v>2370</v>
      </c>
      <c r="F1426" s="289" t="s">
        <v>2371</v>
      </c>
      <c r="I1426" s="289" t="s">
        <v>2372</v>
      </c>
    </row>
    <row r="1427" spans="1:9">
      <c r="A1427" s="290">
        <v>218898</v>
      </c>
      <c r="B1427" s="289" t="s">
        <v>630</v>
      </c>
      <c r="C1427" s="289" t="s">
        <v>1041</v>
      </c>
      <c r="D1427" s="289" t="s">
        <v>2373</v>
      </c>
      <c r="E1427" s="289" t="s">
        <v>2374</v>
      </c>
      <c r="F1427" s="289" t="s">
        <v>2375</v>
      </c>
      <c r="I1427" s="289" t="s">
        <v>2376</v>
      </c>
    </row>
    <row r="1428" spans="1:9">
      <c r="A1428" s="290">
        <v>218944</v>
      </c>
      <c r="B1428" s="289" t="s">
        <v>630</v>
      </c>
      <c r="C1428" s="289" t="s">
        <v>1041</v>
      </c>
      <c r="D1428" s="289" t="s">
        <v>2379</v>
      </c>
      <c r="E1428" s="289" t="s">
        <v>2380</v>
      </c>
      <c r="F1428" s="289" t="s">
        <v>2381</v>
      </c>
      <c r="I1428" s="289" t="s">
        <v>2382</v>
      </c>
    </row>
    <row r="1429" spans="1:9">
      <c r="A1429" s="290">
        <v>218966</v>
      </c>
      <c r="B1429" s="289" t="s">
        <v>630</v>
      </c>
      <c r="C1429" s="289" t="s">
        <v>1041</v>
      </c>
      <c r="D1429" s="289" t="s">
        <v>2383</v>
      </c>
      <c r="E1429" s="289" t="s">
        <v>2384</v>
      </c>
      <c r="F1429" s="289" t="s">
        <v>2385</v>
      </c>
      <c r="I1429" s="289" t="s">
        <v>2386</v>
      </c>
    </row>
    <row r="1430" spans="1:9">
      <c r="A1430" s="290">
        <v>218977</v>
      </c>
      <c r="B1430" s="289" t="s">
        <v>630</v>
      </c>
      <c r="C1430" s="289" t="s">
        <v>1041</v>
      </c>
      <c r="D1430" s="289" t="s">
        <v>2387</v>
      </c>
      <c r="E1430" s="289" t="s">
        <v>2388</v>
      </c>
      <c r="F1430" s="289" t="s">
        <v>2389</v>
      </c>
      <c r="I1430" s="289" t="s">
        <v>2390</v>
      </c>
    </row>
    <row r="1431" spans="1:9">
      <c r="A1431" s="290">
        <v>218988</v>
      </c>
      <c r="B1431" s="289" t="s">
        <v>630</v>
      </c>
      <c r="C1431" s="289" t="s">
        <v>1041</v>
      </c>
      <c r="D1431" s="289" t="s">
        <v>2391</v>
      </c>
      <c r="E1431" s="289" t="s">
        <v>2392</v>
      </c>
      <c r="F1431" s="289" t="s">
        <v>2393</v>
      </c>
      <c r="I1431" s="289" t="s">
        <v>2394</v>
      </c>
    </row>
    <row r="1432" spans="1:9">
      <c r="A1432" s="290">
        <v>218999</v>
      </c>
      <c r="B1432" s="289" t="s">
        <v>630</v>
      </c>
      <c r="C1432" s="289" t="s">
        <v>1041</v>
      </c>
      <c r="D1432" s="289" t="s">
        <v>2395</v>
      </c>
      <c r="E1432" s="289" t="s">
        <v>2396</v>
      </c>
      <c r="F1432" s="289" t="s">
        <v>4926</v>
      </c>
      <c r="I1432" s="289" t="s">
        <v>2397</v>
      </c>
    </row>
    <row r="1433" spans="1:9">
      <c r="A1433" s="290">
        <v>219002</v>
      </c>
      <c r="B1433" s="289" t="s">
        <v>630</v>
      </c>
      <c r="C1433" s="289" t="s">
        <v>1041</v>
      </c>
      <c r="D1433" s="289" t="s">
        <v>2398</v>
      </c>
      <c r="E1433" s="289" t="s">
        <v>2399</v>
      </c>
      <c r="F1433" s="289" t="s">
        <v>2400</v>
      </c>
      <c r="I1433" s="289" t="s">
        <v>2401</v>
      </c>
    </row>
    <row r="1434" spans="1:9">
      <c r="A1434" s="290">
        <v>219013</v>
      </c>
      <c r="B1434" s="289" t="s">
        <v>630</v>
      </c>
      <c r="C1434" s="289" t="s">
        <v>1041</v>
      </c>
      <c r="D1434" s="289" t="s">
        <v>2402</v>
      </c>
      <c r="E1434" s="289" t="s">
        <v>2403</v>
      </c>
      <c r="F1434" s="289" t="s">
        <v>2404</v>
      </c>
      <c r="I1434" s="289" t="s">
        <v>2405</v>
      </c>
    </row>
    <row r="1435" spans="1:9">
      <c r="A1435" s="290">
        <v>219024</v>
      </c>
      <c r="B1435" s="289" t="s">
        <v>630</v>
      </c>
      <c r="C1435" s="289" t="s">
        <v>1041</v>
      </c>
      <c r="D1435" s="289" t="s">
        <v>2406</v>
      </c>
      <c r="E1435" s="289" t="s">
        <v>2407</v>
      </c>
      <c r="F1435" s="289" t="s">
        <v>2408</v>
      </c>
      <c r="I1435" s="289" t="s">
        <v>2409</v>
      </c>
    </row>
    <row r="1436" spans="1:9">
      <c r="A1436" s="290">
        <v>219035</v>
      </c>
      <c r="B1436" s="289" t="s">
        <v>630</v>
      </c>
      <c r="C1436" s="289" t="s">
        <v>1041</v>
      </c>
      <c r="D1436" s="289" t="s">
        <v>2410</v>
      </c>
      <c r="E1436" s="289" t="s">
        <v>2411</v>
      </c>
      <c r="F1436" s="289" t="s">
        <v>2412</v>
      </c>
      <c r="I1436" s="289" t="s">
        <v>2413</v>
      </c>
    </row>
    <row r="1437" spans="1:9">
      <c r="A1437" s="290">
        <v>219079</v>
      </c>
      <c r="B1437" s="289" t="s">
        <v>630</v>
      </c>
      <c r="C1437" s="289" t="s">
        <v>1041</v>
      </c>
      <c r="D1437" s="289" t="s">
        <v>2414</v>
      </c>
      <c r="E1437" s="289" t="s">
        <v>2415</v>
      </c>
      <c r="F1437" s="289" t="s">
        <v>2416</v>
      </c>
      <c r="I1437" s="289" t="s">
        <v>2417</v>
      </c>
    </row>
    <row r="1438" spans="1:9">
      <c r="A1438" s="290">
        <v>219091</v>
      </c>
      <c r="B1438" s="289" t="s">
        <v>630</v>
      </c>
      <c r="C1438" s="289" t="s">
        <v>1041</v>
      </c>
      <c r="D1438" s="289" t="s">
        <v>2418</v>
      </c>
      <c r="E1438" s="289" t="s">
        <v>2419</v>
      </c>
      <c r="F1438" s="289" t="s">
        <v>2420</v>
      </c>
      <c r="I1438" s="289" t="s">
        <v>2421</v>
      </c>
    </row>
    <row r="1439" spans="1:9">
      <c r="A1439" s="290">
        <v>219103</v>
      </c>
      <c r="B1439" s="289" t="s">
        <v>630</v>
      </c>
      <c r="C1439" s="289" t="s">
        <v>1041</v>
      </c>
      <c r="D1439" s="289" t="s">
        <v>4927</v>
      </c>
      <c r="E1439" s="289" t="s">
        <v>2422</v>
      </c>
      <c r="F1439" s="289" t="s">
        <v>2423</v>
      </c>
      <c r="I1439" s="289" t="s">
        <v>2424</v>
      </c>
    </row>
    <row r="1440" spans="1:9">
      <c r="A1440" s="290">
        <v>219114</v>
      </c>
      <c r="B1440" s="289" t="s">
        <v>630</v>
      </c>
      <c r="C1440" s="289" t="s">
        <v>1041</v>
      </c>
      <c r="D1440" s="289" t="s">
        <v>2425</v>
      </c>
      <c r="E1440" s="289" t="s">
        <v>2426</v>
      </c>
      <c r="F1440" s="289" t="s">
        <v>2427</v>
      </c>
      <c r="I1440" s="289" t="s">
        <v>2428</v>
      </c>
    </row>
    <row r="1441" spans="1:9">
      <c r="A1441" s="290">
        <v>219125</v>
      </c>
      <c r="B1441" s="289" t="s">
        <v>630</v>
      </c>
      <c r="C1441" s="289" t="s">
        <v>1041</v>
      </c>
      <c r="D1441" s="289" t="s">
        <v>2429</v>
      </c>
      <c r="E1441" s="289" t="s">
        <v>2430</v>
      </c>
      <c r="F1441" s="289" t="s">
        <v>2431</v>
      </c>
      <c r="I1441" s="289" t="s">
        <v>2432</v>
      </c>
    </row>
    <row r="1442" spans="1:9">
      <c r="A1442" s="290">
        <v>219136</v>
      </c>
      <c r="B1442" s="289" t="s">
        <v>630</v>
      </c>
      <c r="C1442" s="289" t="s">
        <v>1041</v>
      </c>
      <c r="D1442" s="289" t="s">
        <v>2433</v>
      </c>
      <c r="E1442" s="289" t="s">
        <v>2434</v>
      </c>
      <c r="F1442" s="289" t="s">
        <v>4928</v>
      </c>
      <c r="I1442" s="289" t="s">
        <v>2435</v>
      </c>
    </row>
    <row r="1443" spans="1:9">
      <c r="A1443" s="290">
        <v>219147</v>
      </c>
      <c r="B1443" s="289" t="s">
        <v>630</v>
      </c>
      <c r="C1443" s="289" t="s">
        <v>1041</v>
      </c>
      <c r="D1443" s="289" t="s">
        <v>2436</v>
      </c>
      <c r="E1443" s="289" t="s">
        <v>2437</v>
      </c>
      <c r="F1443" s="289" t="s">
        <v>2438</v>
      </c>
      <c r="I1443" s="289" t="s">
        <v>2439</v>
      </c>
    </row>
    <row r="1444" spans="1:9">
      <c r="A1444" s="290">
        <v>219192</v>
      </c>
      <c r="B1444" s="289" t="s">
        <v>630</v>
      </c>
      <c r="C1444" s="289" t="s">
        <v>1041</v>
      </c>
      <c r="D1444" s="289" t="s">
        <v>2440</v>
      </c>
      <c r="E1444" s="289" t="s">
        <v>2441</v>
      </c>
      <c r="F1444" s="289" t="s">
        <v>2442</v>
      </c>
      <c r="I1444" s="289" t="s">
        <v>2443</v>
      </c>
    </row>
    <row r="1445" spans="1:9">
      <c r="A1445" s="290">
        <v>219215</v>
      </c>
      <c r="B1445" s="289" t="s">
        <v>630</v>
      </c>
      <c r="C1445" s="289" t="s">
        <v>1041</v>
      </c>
      <c r="D1445" s="289" t="s">
        <v>2444</v>
      </c>
      <c r="E1445" s="289" t="s">
        <v>2445</v>
      </c>
      <c r="F1445" s="289" t="s">
        <v>2446</v>
      </c>
      <c r="I1445" s="289" t="s">
        <v>2447</v>
      </c>
    </row>
    <row r="1446" spans="1:9">
      <c r="A1446" s="290">
        <v>219226</v>
      </c>
      <c r="B1446" s="289" t="s">
        <v>630</v>
      </c>
      <c r="C1446" s="289" t="s">
        <v>1041</v>
      </c>
      <c r="D1446" s="289" t="s">
        <v>2448</v>
      </c>
      <c r="E1446" s="289" t="s">
        <v>2449</v>
      </c>
      <c r="F1446" s="289" t="s">
        <v>2450</v>
      </c>
      <c r="I1446" s="289" t="s">
        <v>2451</v>
      </c>
    </row>
    <row r="1447" spans="1:9">
      <c r="A1447" s="290">
        <v>219237</v>
      </c>
      <c r="B1447" s="289" t="s">
        <v>630</v>
      </c>
      <c r="C1447" s="289" t="s">
        <v>1041</v>
      </c>
      <c r="D1447" s="289" t="s">
        <v>2452</v>
      </c>
      <c r="E1447" s="289" t="s">
        <v>2453</v>
      </c>
      <c r="F1447" s="289" t="s">
        <v>2454</v>
      </c>
      <c r="I1447" s="289" t="s">
        <v>2455</v>
      </c>
    </row>
    <row r="1448" spans="1:9">
      <c r="A1448" s="290">
        <v>219248</v>
      </c>
      <c r="B1448" s="289" t="s">
        <v>630</v>
      </c>
      <c r="C1448" s="289" t="s">
        <v>1041</v>
      </c>
      <c r="D1448" s="289" t="s">
        <v>2456</v>
      </c>
      <c r="E1448" s="289" t="s">
        <v>2457</v>
      </c>
      <c r="F1448" s="289" t="s">
        <v>2458</v>
      </c>
      <c r="I1448" s="289" t="s">
        <v>2459</v>
      </c>
    </row>
    <row r="1449" spans="1:9">
      <c r="A1449" s="290">
        <v>219260</v>
      </c>
      <c r="B1449" s="289" t="s">
        <v>630</v>
      </c>
      <c r="C1449" s="289" t="s">
        <v>1041</v>
      </c>
      <c r="D1449" s="289" t="s">
        <v>2460</v>
      </c>
      <c r="E1449" s="289" t="s">
        <v>2461</v>
      </c>
      <c r="F1449" s="289" t="s">
        <v>2462</v>
      </c>
      <c r="I1449" s="289" t="s">
        <v>2463</v>
      </c>
    </row>
    <row r="1450" spans="1:9">
      <c r="A1450" s="290">
        <v>219271</v>
      </c>
      <c r="B1450" s="289" t="s">
        <v>630</v>
      </c>
      <c r="C1450" s="289" t="s">
        <v>1041</v>
      </c>
      <c r="D1450" s="289" t="s">
        <v>2464</v>
      </c>
      <c r="E1450" s="289" t="s">
        <v>2465</v>
      </c>
      <c r="F1450" s="289" t="s">
        <v>2466</v>
      </c>
      <c r="I1450" s="289" t="s">
        <v>2467</v>
      </c>
    </row>
    <row r="1451" spans="1:9">
      <c r="A1451" s="290">
        <v>219282</v>
      </c>
      <c r="B1451" s="289" t="s">
        <v>630</v>
      </c>
      <c r="C1451" s="289" t="s">
        <v>1041</v>
      </c>
      <c r="D1451" s="289" t="s">
        <v>2468</v>
      </c>
      <c r="E1451" s="289" t="s">
        <v>2469</v>
      </c>
      <c r="F1451" s="289" t="s">
        <v>2470</v>
      </c>
      <c r="I1451" s="289" t="s">
        <v>2471</v>
      </c>
    </row>
    <row r="1452" spans="1:9">
      <c r="A1452" s="290">
        <v>219293</v>
      </c>
      <c r="B1452" s="289" t="s">
        <v>630</v>
      </c>
      <c r="C1452" s="289" t="s">
        <v>1041</v>
      </c>
      <c r="D1452" s="289" t="s">
        <v>2472</v>
      </c>
      <c r="E1452" s="289" t="s">
        <v>2473</v>
      </c>
      <c r="F1452" s="289" t="s">
        <v>2474</v>
      </c>
      <c r="I1452" s="289" t="s">
        <v>2475</v>
      </c>
    </row>
    <row r="1453" spans="1:9">
      <c r="A1453" s="290">
        <v>219305</v>
      </c>
      <c r="B1453" s="289" t="s">
        <v>630</v>
      </c>
      <c r="C1453" s="289" t="s">
        <v>1041</v>
      </c>
      <c r="D1453" s="289" t="s">
        <v>4929</v>
      </c>
      <c r="E1453" s="289" t="s">
        <v>4930</v>
      </c>
      <c r="F1453" s="289" t="s">
        <v>4931</v>
      </c>
      <c r="I1453" s="289" t="s">
        <v>4932</v>
      </c>
    </row>
    <row r="1454" spans="1:9">
      <c r="A1454" s="290">
        <v>219316</v>
      </c>
      <c r="B1454" s="289" t="s">
        <v>630</v>
      </c>
      <c r="C1454" s="289" t="s">
        <v>1041</v>
      </c>
      <c r="D1454" s="289" t="s">
        <v>2476</v>
      </c>
      <c r="E1454" s="289" t="s">
        <v>2477</v>
      </c>
      <c r="F1454" s="289" t="s">
        <v>2478</v>
      </c>
      <c r="I1454" s="289" t="s">
        <v>2479</v>
      </c>
    </row>
    <row r="1455" spans="1:9">
      <c r="A1455" s="290">
        <v>219327</v>
      </c>
      <c r="B1455" s="289" t="s">
        <v>630</v>
      </c>
      <c r="C1455" s="289" t="s">
        <v>1041</v>
      </c>
      <c r="D1455" s="289" t="s">
        <v>2480</v>
      </c>
      <c r="E1455" s="289" t="s">
        <v>2481</v>
      </c>
      <c r="F1455" s="289" t="s">
        <v>2482</v>
      </c>
      <c r="I1455" s="289" t="s">
        <v>2483</v>
      </c>
    </row>
    <row r="1456" spans="1:9">
      <c r="A1456" s="290">
        <v>219338</v>
      </c>
      <c r="B1456" s="289" t="s">
        <v>630</v>
      </c>
      <c r="C1456" s="289" t="s">
        <v>1041</v>
      </c>
      <c r="D1456" s="289" t="s">
        <v>2484</v>
      </c>
      <c r="E1456" s="289" t="s">
        <v>2485</v>
      </c>
      <c r="F1456" s="289" t="s">
        <v>2486</v>
      </c>
      <c r="I1456" s="289" t="s">
        <v>2487</v>
      </c>
    </row>
    <row r="1457" spans="1:9">
      <c r="A1457" s="290">
        <v>219349</v>
      </c>
      <c r="B1457" s="289" t="s">
        <v>630</v>
      </c>
      <c r="C1457" s="289" t="s">
        <v>1041</v>
      </c>
      <c r="D1457" s="289" t="s">
        <v>2488</v>
      </c>
      <c r="E1457" s="289" t="s">
        <v>2489</v>
      </c>
      <c r="F1457" s="289" t="s">
        <v>2490</v>
      </c>
      <c r="I1457" s="289" t="s">
        <v>2491</v>
      </c>
    </row>
    <row r="1458" spans="1:9">
      <c r="A1458" s="290">
        <v>219350</v>
      </c>
      <c r="B1458" s="289" t="s">
        <v>630</v>
      </c>
      <c r="C1458" s="289" t="s">
        <v>1041</v>
      </c>
      <c r="D1458" s="289" t="s">
        <v>2492</v>
      </c>
      <c r="E1458" s="289" t="s">
        <v>2493</v>
      </c>
      <c r="F1458" s="289" t="s">
        <v>2494</v>
      </c>
      <c r="I1458" s="289" t="s">
        <v>2495</v>
      </c>
    </row>
    <row r="1459" spans="1:9">
      <c r="A1459" s="290">
        <v>219383</v>
      </c>
      <c r="B1459" s="289" t="s">
        <v>630</v>
      </c>
      <c r="C1459" s="289" t="s">
        <v>1041</v>
      </c>
      <c r="D1459" s="289" t="s">
        <v>2496</v>
      </c>
      <c r="E1459" s="289" t="s">
        <v>2497</v>
      </c>
      <c r="F1459" s="289" t="s">
        <v>2498</v>
      </c>
      <c r="I1459" s="289" t="s">
        <v>2499</v>
      </c>
    </row>
    <row r="1460" spans="1:9">
      <c r="A1460" s="290">
        <v>219394</v>
      </c>
      <c r="B1460" s="289" t="s">
        <v>630</v>
      </c>
      <c r="C1460" s="289" t="s">
        <v>1041</v>
      </c>
      <c r="D1460" s="289" t="s">
        <v>2500</v>
      </c>
      <c r="E1460" s="289" t="s">
        <v>2501</v>
      </c>
      <c r="F1460" s="289" t="s">
        <v>2502</v>
      </c>
      <c r="I1460" s="289" t="s">
        <v>2503</v>
      </c>
    </row>
    <row r="1461" spans="1:9">
      <c r="A1461" s="290">
        <v>219406</v>
      </c>
      <c r="B1461" s="289" t="s">
        <v>630</v>
      </c>
      <c r="C1461" s="289" t="s">
        <v>1041</v>
      </c>
      <c r="D1461" s="289" t="s">
        <v>2504</v>
      </c>
      <c r="E1461" s="289" t="s">
        <v>2505</v>
      </c>
      <c r="F1461" s="289" t="s">
        <v>2506</v>
      </c>
      <c r="I1461" s="289" t="s">
        <v>2507</v>
      </c>
    </row>
    <row r="1462" spans="1:9">
      <c r="A1462" s="290">
        <v>219417</v>
      </c>
      <c r="B1462" s="289" t="s">
        <v>630</v>
      </c>
      <c r="C1462" s="289" t="s">
        <v>1041</v>
      </c>
      <c r="D1462" s="289" t="s">
        <v>2508</v>
      </c>
      <c r="E1462" s="289" t="s">
        <v>2509</v>
      </c>
      <c r="F1462" s="289" t="s">
        <v>2510</v>
      </c>
      <c r="I1462" s="289" t="s">
        <v>2511</v>
      </c>
    </row>
    <row r="1463" spans="1:9">
      <c r="A1463" s="290">
        <v>219428</v>
      </c>
      <c r="B1463" s="289" t="s">
        <v>630</v>
      </c>
      <c r="C1463" s="289" t="s">
        <v>1041</v>
      </c>
      <c r="D1463" s="289" t="s">
        <v>2512</v>
      </c>
      <c r="E1463" s="289" t="s">
        <v>2513</v>
      </c>
      <c r="F1463" s="289" t="s">
        <v>2514</v>
      </c>
      <c r="I1463" s="289" t="s">
        <v>2515</v>
      </c>
    </row>
    <row r="1464" spans="1:9">
      <c r="A1464" s="290">
        <v>219439</v>
      </c>
      <c r="B1464" s="289" t="s">
        <v>630</v>
      </c>
      <c r="C1464" s="289" t="s">
        <v>1041</v>
      </c>
      <c r="D1464" s="289" t="s">
        <v>2516</v>
      </c>
      <c r="E1464" s="289" t="s">
        <v>2517</v>
      </c>
      <c r="F1464" s="289" t="s">
        <v>2518</v>
      </c>
      <c r="I1464" s="289" t="s">
        <v>2519</v>
      </c>
    </row>
    <row r="1465" spans="1:9">
      <c r="A1465" s="290">
        <v>219440</v>
      </c>
      <c r="B1465" s="289" t="s">
        <v>630</v>
      </c>
      <c r="C1465" s="289" t="s">
        <v>1041</v>
      </c>
      <c r="D1465" s="289" t="s">
        <v>2520</v>
      </c>
      <c r="E1465" s="289" t="s">
        <v>2521</v>
      </c>
      <c r="F1465" s="289" t="s">
        <v>2522</v>
      </c>
      <c r="I1465" s="289" t="s">
        <v>2523</v>
      </c>
    </row>
    <row r="1466" spans="1:9">
      <c r="A1466" s="290">
        <v>231129</v>
      </c>
      <c r="B1466" s="289" t="s">
        <v>630</v>
      </c>
      <c r="C1466" s="289" t="s">
        <v>1041</v>
      </c>
      <c r="D1466" s="289" t="s">
        <v>2524</v>
      </c>
      <c r="E1466" s="289" t="s">
        <v>2525</v>
      </c>
      <c r="F1466" s="289" t="s">
        <v>2526</v>
      </c>
      <c r="I1466" s="289" t="s">
        <v>2527</v>
      </c>
    </row>
    <row r="1467" spans="1:9">
      <c r="A1467" s="290">
        <v>231130</v>
      </c>
      <c r="B1467" s="289" t="s">
        <v>630</v>
      </c>
      <c r="C1467" s="289" t="s">
        <v>1041</v>
      </c>
      <c r="D1467" s="289" t="s">
        <v>4933</v>
      </c>
      <c r="E1467" s="289" t="s">
        <v>4934</v>
      </c>
      <c r="F1467" s="289" t="s">
        <v>4935</v>
      </c>
      <c r="I1467" s="289" t="s">
        <v>4936</v>
      </c>
    </row>
    <row r="1468" spans="1:9">
      <c r="A1468" s="290">
        <v>231174</v>
      </c>
      <c r="B1468" s="289" t="s">
        <v>630</v>
      </c>
      <c r="C1468" s="289" t="s">
        <v>1041</v>
      </c>
      <c r="D1468" s="289" t="s">
        <v>2531</v>
      </c>
      <c r="E1468" s="289" t="s">
        <v>2532</v>
      </c>
      <c r="F1468" s="289" t="s">
        <v>2533</v>
      </c>
      <c r="I1468" s="289" t="s">
        <v>2534</v>
      </c>
    </row>
    <row r="1469" spans="1:9">
      <c r="A1469" s="290">
        <v>237989</v>
      </c>
      <c r="B1469" s="289" t="s">
        <v>630</v>
      </c>
      <c r="C1469" s="289" t="s">
        <v>1041</v>
      </c>
      <c r="D1469" s="289" t="s">
        <v>2538</v>
      </c>
      <c r="E1469" s="289" t="s">
        <v>2539</v>
      </c>
      <c r="F1469" s="289" t="s">
        <v>4937</v>
      </c>
      <c r="I1469" s="289" t="s">
        <v>2540</v>
      </c>
    </row>
    <row r="1470" spans="1:9">
      <c r="A1470" s="290">
        <v>237990</v>
      </c>
      <c r="B1470" s="289" t="s">
        <v>630</v>
      </c>
      <c r="C1470" s="289" t="s">
        <v>1041</v>
      </c>
      <c r="D1470" s="289" t="s">
        <v>2541</v>
      </c>
      <c r="E1470" s="289" t="s">
        <v>2542</v>
      </c>
      <c r="F1470" s="289" t="s">
        <v>2543</v>
      </c>
      <c r="I1470" s="289" t="s">
        <v>2544</v>
      </c>
    </row>
    <row r="1471" spans="1:9">
      <c r="A1471" s="290">
        <v>238014</v>
      </c>
      <c r="B1471" s="289" t="s">
        <v>630</v>
      </c>
      <c r="C1471" s="289" t="s">
        <v>1041</v>
      </c>
      <c r="D1471" s="289" t="s">
        <v>2545</v>
      </c>
      <c r="E1471" s="289" t="s">
        <v>2546</v>
      </c>
      <c r="F1471" s="289" t="s">
        <v>2547</v>
      </c>
      <c r="I1471" s="289" t="s">
        <v>2548</v>
      </c>
    </row>
    <row r="1472" spans="1:9">
      <c r="A1472" s="290">
        <v>263562</v>
      </c>
      <c r="B1472" s="289" t="s">
        <v>630</v>
      </c>
      <c r="C1472" s="289" t="s">
        <v>1041</v>
      </c>
      <c r="D1472" s="289" t="s">
        <v>2555</v>
      </c>
      <c r="E1472" s="289" t="s">
        <v>2556</v>
      </c>
      <c r="F1472" s="289" t="s">
        <v>2557</v>
      </c>
      <c r="I1472" s="289" t="s">
        <v>2558</v>
      </c>
    </row>
    <row r="1473" spans="1:9">
      <c r="A1473" s="290">
        <v>281832</v>
      </c>
      <c r="B1473" s="289" t="s">
        <v>630</v>
      </c>
      <c r="C1473" s="289" t="s">
        <v>1041</v>
      </c>
      <c r="D1473" s="289" t="s">
        <v>2562</v>
      </c>
      <c r="E1473" s="289" t="s">
        <v>2563</v>
      </c>
      <c r="F1473" s="289" t="s">
        <v>2564</v>
      </c>
      <c r="I1473" s="289" t="s">
        <v>2565</v>
      </c>
    </row>
    <row r="1474" spans="1:9">
      <c r="A1474" s="290">
        <v>290944</v>
      </c>
      <c r="B1474" s="289" t="s">
        <v>630</v>
      </c>
      <c r="C1474" s="289" t="s">
        <v>1041</v>
      </c>
      <c r="D1474" s="289" t="s">
        <v>2569</v>
      </c>
      <c r="E1474" s="289" t="s">
        <v>2570</v>
      </c>
      <c r="F1474" s="289" t="s">
        <v>2571</v>
      </c>
      <c r="I1474" s="289" t="s">
        <v>2572</v>
      </c>
    </row>
    <row r="1475" spans="1:9">
      <c r="A1475" s="290">
        <v>305738</v>
      </c>
      <c r="B1475" s="289" t="s">
        <v>630</v>
      </c>
      <c r="C1475" s="289" t="s">
        <v>1041</v>
      </c>
      <c r="D1475" s="289" t="s">
        <v>2624</v>
      </c>
      <c r="E1475" s="289" t="s">
        <v>2625</v>
      </c>
      <c r="F1475" s="289" t="s">
        <v>2626</v>
      </c>
      <c r="I1475" s="289" t="s">
        <v>2627</v>
      </c>
    </row>
    <row r="1476" spans="1:9">
      <c r="A1476" s="290">
        <v>305750</v>
      </c>
      <c r="B1476" s="289" t="s">
        <v>630</v>
      </c>
      <c r="C1476" s="289" t="s">
        <v>1041</v>
      </c>
      <c r="D1476" s="289" t="s">
        <v>2628</v>
      </c>
      <c r="E1476" s="289" t="s">
        <v>2629</v>
      </c>
      <c r="F1476" s="289" t="s">
        <v>2630</v>
      </c>
      <c r="I1476" s="289" t="s">
        <v>2631</v>
      </c>
    </row>
    <row r="1477" spans="1:9">
      <c r="A1477" s="290">
        <v>305761</v>
      </c>
      <c r="B1477" s="289" t="s">
        <v>630</v>
      </c>
      <c r="C1477" s="289" t="s">
        <v>1041</v>
      </c>
      <c r="D1477" s="289" t="s">
        <v>2632</v>
      </c>
      <c r="E1477" s="289" t="s">
        <v>2633</v>
      </c>
      <c r="F1477" s="289" t="s">
        <v>2634</v>
      </c>
      <c r="I1477" s="289" t="s">
        <v>2635</v>
      </c>
    </row>
    <row r="1478" spans="1:9">
      <c r="A1478" s="290">
        <v>305772</v>
      </c>
      <c r="B1478" s="289" t="s">
        <v>630</v>
      </c>
      <c r="C1478" s="289" t="s">
        <v>1041</v>
      </c>
      <c r="D1478" s="289" t="s">
        <v>2636</v>
      </c>
      <c r="E1478" s="289" t="s">
        <v>2637</v>
      </c>
      <c r="F1478" s="289" t="s">
        <v>2638</v>
      </c>
      <c r="I1478" s="289" t="s">
        <v>2639</v>
      </c>
    </row>
    <row r="1479" spans="1:9">
      <c r="A1479" s="290">
        <v>305783</v>
      </c>
      <c r="B1479" s="289" t="s">
        <v>630</v>
      </c>
      <c r="C1479" s="289" t="s">
        <v>1041</v>
      </c>
      <c r="D1479" s="289" t="s">
        <v>2640</v>
      </c>
      <c r="E1479" s="289" t="s">
        <v>2641</v>
      </c>
      <c r="F1479" s="289" t="s">
        <v>2642</v>
      </c>
      <c r="I1479" s="289" t="s">
        <v>2643</v>
      </c>
    </row>
    <row r="1480" spans="1:9">
      <c r="A1480" s="290">
        <v>305794</v>
      </c>
      <c r="B1480" s="289" t="s">
        <v>630</v>
      </c>
      <c r="C1480" s="289" t="s">
        <v>1041</v>
      </c>
      <c r="D1480" s="289" t="s">
        <v>2644</v>
      </c>
      <c r="E1480" s="289" t="s">
        <v>2645</v>
      </c>
      <c r="F1480" s="289" t="s">
        <v>2646</v>
      </c>
      <c r="I1480" s="289" t="s">
        <v>2647</v>
      </c>
    </row>
    <row r="1481" spans="1:9">
      <c r="A1481" s="290">
        <v>305839</v>
      </c>
      <c r="B1481" s="289" t="s">
        <v>630</v>
      </c>
      <c r="C1481" s="289" t="s">
        <v>1041</v>
      </c>
      <c r="D1481" s="289" t="s">
        <v>2648</v>
      </c>
      <c r="E1481" s="289" t="s">
        <v>2649</v>
      </c>
      <c r="F1481" s="289" t="s">
        <v>2650</v>
      </c>
      <c r="I1481" s="289" t="s">
        <v>2651</v>
      </c>
    </row>
    <row r="1482" spans="1:9">
      <c r="A1482" s="290">
        <v>305851</v>
      </c>
      <c r="B1482" s="289" t="s">
        <v>630</v>
      </c>
      <c r="C1482" s="289" t="s">
        <v>1041</v>
      </c>
      <c r="D1482" s="289" t="s">
        <v>2652</v>
      </c>
      <c r="E1482" s="289" t="s">
        <v>2653</v>
      </c>
      <c r="F1482" s="289" t="s">
        <v>2654</v>
      </c>
      <c r="I1482" s="289" t="s">
        <v>2655</v>
      </c>
    </row>
    <row r="1483" spans="1:9">
      <c r="A1483" s="290">
        <v>305873</v>
      </c>
      <c r="B1483" s="289" t="s">
        <v>630</v>
      </c>
      <c r="C1483" s="289" t="s">
        <v>1041</v>
      </c>
      <c r="D1483" s="289" t="s">
        <v>2656</v>
      </c>
      <c r="E1483" s="289" t="s">
        <v>2657</v>
      </c>
      <c r="F1483" s="289" t="s">
        <v>2658</v>
      </c>
      <c r="I1483" s="289" t="s">
        <v>2659</v>
      </c>
    </row>
    <row r="1484" spans="1:9">
      <c r="A1484" s="290">
        <v>306223</v>
      </c>
      <c r="B1484" s="289" t="s">
        <v>630</v>
      </c>
      <c r="C1484" s="289" t="s">
        <v>1041</v>
      </c>
      <c r="D1484" s="289" t="s">
        <v>2677</v>
      </c>
      <c r="E1484" s="289" t="s">
        <v>2678</v>
      </c>
      <c r="F1484" s="289" t="s">
        <v>2679</v>
      </c>
      <c r="I1484" s="289" t="s">
        <v>2680</v>
      </c>
    </row>
    <row r="1485" spans="1:9">
      <c r="A1485" s="290">
        <v>307426</v>
      </c>
      <c r="B1485" s="289" t="s">
        <v>630</v>
      </c>
      <c r="C1485" s="289" t="s">
        <v>1041</v>
      </c>
      <c r="D1485" s="289" t="s">
        <v>2687</v>
      </c>
      <c r="E1485" s="289" t="s">
        <v>2688</v>
      </c>
      <c r="F1485" s="289" t="s">
        <v>2689</v>
      </c>
      <c r="I1485" s="289" t="s">
        <v>2690</v>
      </c>
    </row>
    <row r="1486" spans="1:9">
      <c r="A1486" s="290">
        <v>307460</v>
      </c>
      <c r="B1486" s="289" t="s">
        <v>630</v>
      </c>
      <c r="C1486" s="289" t="s">
        <v>1041</v>
      </c>
      <c r="D1486" s="289" t="s">
        <v>2691</v>
      </c>
      <c r="E1486" s="289" t="s">
        <v>2692</v>
      </c>
      <c r="F1486" s="289" t="s">
        <v>2693</v>
      </c>
      <c r="I1486" s="289" t="s">
        <v>2694</v>
      </c>
    </row>
    <row r="1487" spans="1:9">
      <c r="A1487" s="290">
        <v>307842</v>
      </c>
      <c r="B1487" s="289" t="s">
        <v>630</v>
      </c>
      <c r="C1487" s="289" t="s">
        <v>1041</v>
      </c>
      <c r="D1487" s="289" t="s">
        <v>2695</v>
      </c>
      <c r="E1487" s="289" t="s">
        <v>2696</v>
      </c>
      <c r="F1487" s="289" t="s">
        <v>2697</v>
      </c>
      <c r="I1487" s="289" t="s">
        <v>2698</v>
      </c>
    </row>
    <row r="1488" spans="1:9">
      <c r="A1488" s="290">
        <v>323491</v>
      </c>
      <c r="B1488" s="289" t="s">
        <v>630</v>
      </c>
      <c r="C1488" s="289" t="s">
        <v>1041</v>
      </c>
      <c r="D1488" s="289" t="s">
        <v>2732</v>
      </c>
      <c r="E1488" s="289" t="s">
        <v>2733</v>
      </c>
      <c r="F1488" s="289" t="s">
        <v>2734</v>
      </c>
      <c r="I1488" s="289" t="s">
        <v>2735</v>
      </c>
    </row>
    <row r="1489" spans="1:9">
      <c r="A1489" s="290">
        <v>323503</v>
      </c>
      <c r="B1489" s="289" t="s">
        <v>630</v>
      </c>
      <c r="C1489" s="289" t="s">
        <v>1041</v>
      </c>
      <c r="D1489" s="289" t="s">
        <v>2736</v>
      </c>
      <c r="E1489" s="289" t="s">
        <v>2737</v>
      </c>
      <c r="F1489" s="289" t="s">
        <v>2738</v>
      </c>
      <c r="I1489" s="289" t="s">
        <v>2739</v>
      </c>
    </row>
    <row r="1490" spans="1:9">
      <c r="A1490" s="290">
        <v>323514</v>
      </c>
      <c r="B1490" s="289" t="s">
        <v>630</v>
      </c>
      <c r="C1490" s="289" t="s">
        <v>1041</v>
      </c>
      <c r="D1490" s="289" t="s">
        <v>2740</v>
      </c>
      <c r="E1490" s="289" t="s">
        <v>2741</v>
      </c>
      <c r="F1490" s="289" t="s">
        <v>2742</v>
      </c>
      <c r="I1490" s="289" t="s">
        <v>2743</v>
      </c>
    </row>
    <row r="1491" spans="1:9">
      <c r="A1491" s="290">
        <v>323862</v>
      </c>
      <c r="B1491" s="289" t="s">
        <v>630</v>
      </c>
      <c r="C1491" s="289" t="s">
        <v>1041</v>
      </c>
      <c r="D1491" s="289" t="s">
        <v>2747</v>
      </c>
      <c r="E1491" s="289" t="s">
        <v>2748</v>
      </c>
      <c r="F1491" s="289" t="s">
        <v>2749</v>
      </c>
      <c r="I1491" s="289" t="s">
        <v>2750</v>
      </c>
    </row>
    <row r="1492" spans="1:9">
      <c r="A1492" s="290">
        <v>323873</v>
      </c>
      <c r="B1492" s="289" t="s">
        <v>630</v>
      </c>
      <c r="C1492" s="289" t="s">
        <v>1041</v>
      </c>
      <c r="D1492" s="289" t="s">
        <v>2751</v>
      </c>
      <c r="E1492" s="289" t="s">
        <v>2752</v>
      </c>
      <c r="F1492" s="289" t="s">
        <v>2753</v>
      </c>
      <c r="I1492" s="289" t="s">
        <v>2754</v>
      </c>
    </row>
    <row r="1493" spans="1:9">
      <c r="A1493" s="290">
        <v>323884</v>
      </c>
      <c r="B1493" s="289" t="s">
        <v>630</v>
      </c>
      <c r="C1493" s="289" t="s">
        <v>1041</v>
      </c>
      <c r="D1493" s="289" t="s">
        <v>2755</v>
      </c>
      <c r="E1493" s="289" t="s">
        <v>2756</v>
      </c>
      <c r="F1493" s="289" t="s">
        <v>2757</v>
      </c>
      <c r="I1493" s="289" t="s">
        <v>2758</v>
      </c>
    </row>
    <row r="1494" spans="1:9">
      <c r="A1494" s="290">
        <v>323895</v>
      </c>
      <c r="B1494" s="289" t="s">
        <v>630</v>
      </c>
      <c r="C1494" s="289" t="s">
        <v>1041</v>
      </c>
      <c r="D1494" s="289" t="s">
        <v>2759</v>
      </c>
      <c r="E1494" s="289" t="s">
        <v>2760</v>
      </c>
      <c r="F1494" s="289" t="s">
        <v>2761</v>
      </c>
      <c r="I1494" s="289" t="s">
        <v>2762</v>
      </c>
    </row>
    <row r="1495" spans="1:9">
      <c r="A1495" s="290">
        <v>323929</v>
      </c>
      <c r="B1495" s="289" t="s">
        <v>630</v>
      </c>
      <c r="C1495" s="289" t="s">
        <v>1041</v>
      </c>
      <c r="D1495" s="289" t="s">
        <v>2763</v>
      </c>
      <c r="E1495" s="289" t="s">
        <v>2764</v>
      </c>
      <c r="F1495" s="289" t="s">
        <v>2765</v>
      </c>
      <c r="I1495" s="289" t="s">
        <v>2766</v>
      </c>
    </row>
    <row r="1496" spans="1:9">
      <c r="A1496" s="290">
        <v>323930</v>
      </c>
      <c r="B1496" s="289" t="s">
        <v>630</v>
      </c>
      <c r="C1496" s="289" t="s">
        <v>1041</v>
      </c>
      <c r="D1496" s="289" t="s">
        <v>2767</v>
      </c>
      <c r="E1496" s="289" t="s">
        <v>2768</v>
      </c>
      <c r="F1496" s="289" t="s">
        <v>2769</v>
      </c>
      <c r="I1496" s="289" t="s">
        <v>2770</v>
      </c>
    </row>
    <row r="1497" spans="1:9">
      <c r="A1497" s="290">
        <v>324212</v>
      </c>
      <c r="B1497" s="289" t="s">
        <v>630</v>
      </c>
      <c r="C1497" s="289" t="s">
        <v>1041</v>
      </c>
      <c r="D1497" s="289" t="s">
        <v>4944</v>
      </c>
      <c r="E1497" s="289" t="s">
        <v>4945</v>
      </c>
      <c r="F1497" s="289" t="s">
        <v>4946</v>
      </c>
      <c r="I1497" s="289" t="s">
        <v>4947</v>
      </c>
    </row>
    <row r="1498" spans="1:9">
      <c r="A1498" s="290">
        <v>324762</v>
      </c>
      <c r="B1498" s="289" t="s">
        <v>630</v>
      </c>
      <c r="C1498" s="289" t="s">
        <v>1041</v>
      </c>
      <c r="D1498" s="289" t="s">
        <v>2771</v>
      </c>
      <c r="E1498" s="289" t="s">
        <v>2772</v>
      </c>
      <c r="F1498" s="289" t="s">
        <v>2773</v>
      </c>
      <c r="I1498" s="289" t="s">
        <v>2774</v>
      </c>
    </row>
    <row r="1499" spans="1:9">
      <c r="A1499" s="290">
        <v>335618</v>
      </c>
      <c r="B1499" s="289" t="s">
        <v>630</v>
      </c>
      <c r="C1499" s="289" t="s">
        <v>1041</v>
      </c>
      <c r="D1499" s="289" t="s">
        <v>2827</v>
      </c>
      <c r="E1499" s="289" t="s">
        <v>2828</v>
      </c>
      <c r="F1499" s="289" t="s">
        <v>2829</v>
      </c>
      <c r="I1499" s="289" t="s">
        <v>2830</v>
      </c>
    </row>
    <row r="1500" spans="1:9">
      <c r="A1500" s="290">
        <v>335629</v>
      </c>
      <c r="B1500" s="289" t="s">
        <v>630</v>
      </c>
      <c r="C1500" s="289" t="s">
        <v>1041</v>
      </c>
      <c r="D1500" s="289" t="s">
        <v>2831</v>
      </c>
      <c r="E1500" s="289" t="s">
        <v>2832</v>
      </c>
      <c r="F1500" s="289" t="s">
        <v>2833</v>
      </c>
      <c r="I1500" s="289" t="s">
        <v>2834</v>
      </c>
    </row>
    <row r="1501" spans="1:9">
      <c r="A1501" s="290">
        <v>335630</v>
      </c>
      <c r="B1501" s="289" t="s">
        <v>630</v>
      </c>
      <c r="C1501" s="289" t="s">
        <v>1041</v>
      </c>
      <c r="D1501" s="289" t="s">
        <v>2835</v>
      </c>
      <c r="E1501" s="289" t="s">
        <v>2836</v>
      </c>
      <c r="F1501" s="289" t="s">
        <v>2837</v>
      </c>
      <c r="I1501" s="289" t="s">
        <v>2838</v>
      </c>
    </row>
    <row r="1502" spans="1:9">
      <c r="A1502" s="290">
        <v>335641</v>
      </c>
      <c r="B1502" s="289" t="s">
        <v>630</v>
      </c>
      <c r="C1502" s="289" t="s">
        <v>1041</v>
      </c>
      <c r="D1502" s="289" t="s">
        <v>2839</v>
      </c>
      <c r="E1502" s="289" t="s">
        <v>2840</v>
      </c>
      <c r="F1502" s="289" t="s">
        <v>2841</v>
      </c>
      <c r="I1502" s="289" t="s">
        <v>2842</v>
      </c>
    </row>
    <row r="1503" spans="1:9">
      <c r="A1503" s="290">
        <v>335933</v>
      </c>
      <c r="B1503" s="289" t="s">
        <v>630</v>
      </c>
      <c r="C1503" s="289" t="s">
        <v>1041</v>
      </c>
      <c r="D1503" s="289" t="s">
        <v>2843</v>
      </c>
      <c r="E1503" s="289" t="s">
        <v>2844</v>
      </c>
      <c r="F1503" s="289" t="s">
        <v>2845</v>
      </c>
      <c r="I1503" s="289" t="s">
        <v>2846</v>
      </c>
    </row>
    <row r="1504" spans="1:9">
      <c r="A1504" s="290">
        <v>337823</v>
      </c>
      <c r="B1504" s="289" t="s">
        <v>630</v>
      </c>
      <c r="C1504" s="289" t="s">
        <v>1041</v>
      </c>
      <c r="D1504" s="289" t="s">
        <v>2858</v>
      </c>
      <c r="E1504" s="289" t="s">
        <v>2859</v>
      </c>
      <c r="F1504" s="289" t="s">
        <v>2860</v>
      </c>
      <c r="I1504" s="289" t="s">
        <v>2861</v>
      </c>
    </row>
    <row r="1505" spans="1:9">
      <c r="A1505" s="290">
        <v>337834</v>
      </c>
      <c r="B1505" s="289" t="s">
        <v>630</v>
      </c>
      <c r="C1505" s="289" t="s">
        <v>1041</v>
      </c>
      <c r="D1505" s="289" t="s">
        <v>2862</v>
      </c>
      <c r="E1505" s="289" t="s">
        <v>2863</v>
      </c>
      <c r="F1505" s="289" t="s">
        <v>2864</v>
      </c>
      <c r="I1505" s="289" t="s">
        <v>2865</v>
      </c>
    </row>
    <row r="1506" spans="1:9">
      <c r="A1506" s="290">
        <v>337845</v>
      </c>
      <c r="B1506" s="289" t="s">
        <v>630</v>
      </c>
      <c r="C1506" s="289" t="s">
        <v>1041</v>
      </c>
      <c r="D1506" s="289" t="s">
        <v>2866</v>
      </c>
      <c r="E1506" s="289" t="s">
        <v>2867</v>
      </c>
      <c r="F1506" s="289" t="s">
        <v>2868</v>
      </c>
      <c r="I1506" s="289" t="s">
        <v>2869</v>
      </c>
    </row>
    <row r="1507" spans="1:9">
      <c r="A1507" s="290">
        <v>337856</v>
      </c>
      <c r="B1507" s="289" t="s">
        <v>630</v>
      </c>
      <c r="C1507" s="289" t="s">
        <v>1041</v>
      </c>
      <c r="D1507" s="289" t="s">
        <v>2870</v>
      </c>
      <c r="E1507" s="289" t="s">
        <v>2871</v>
      </c>
      <c r="F1507" s="289" t="s">
        <v>2872</v>
      </c>
      <c r="I1507" s="289" t="s">
        <v>2873</v>
      </c>
    </row>
    <row r="1508" spans="1:9">
      <c r="A1508" s="290">
        <v>349343</v>
      </c>
      <c r="B1508" s="289" t="s">
        <v>630</v>
      </c>
      <c r="C1508" s="289" t="s">
        <v>1041</v>
      </c>
      <c r="D1508" s="289" t="s">
        <v>2911</v>
      </c>
      <c r="E1508" s="289" t="s">
        <v>2912</v>
      </c>
      <c r="F1508" s="289" t="s">
        <v>2913</v>
      </c>
      <c r="I1508" s="289" t="s">
        <v>2914</v>
      </c>
    </row>
    <row r="1509" spans="1:9">
      <c r="A1509" s="290">
        <v>352011</v>
      </c>
      <c r="B1509" s="289" t="s">
        <v>630</v>
      </c>
      <c r="C1509" s="289" t="s">
        <v>1041</v>
      </c>
      <c r="D1509" s="289" t="s">
        <v>2920</v>
      </c>
      <c r="E1509" s="289" t="s">
        <v>2921</v>
      </c>
      <c r="F1509" s="289" t="s">
        <v>2922</v>
      </c>
      <c r="I1509" s="289" t="s">
        <v>2923</v>
      </c>
    </row>
    <row r="1510" spans="1:9">
      <c r="A1510" s="290">
        <v>362764</v>
      </c>
      <c r="B1510" s="289" t="s">
        <v>630</v>
      </c>
      <c r="C1510" s="289" t="s">
        <v>1041</v>
      </c>
      <c r="D1510" s="289" t="s">
        <v>2960</v>
      </c>
      <c r="E1510" s="289" t="s">
        <v>2961</v>
      </c>
      <c r="F1510" s="289" t="s">
        <v>2962</v>
      </c>
      <c r="I1510" s="289" t="s">
        <v>2963</v>
      </c>
    </row>
    <row r="1511" spans="1:9">
      <c r="A1511" s="290">
        <v>363035</v>
      </c>
      <c r="B1511" s="289" t="s">
        <v>630</v>
      </c>
      <c r="C1511" s="289" t="s">
        <v>1041</v>
      </c>
      <c r="D1511" s="289" t="s">
        <v>2964</v>
      </c>
      <c r="E1511" s="289" t="s">
        <v>2965</v>
      </c>
      <c r="F1511" s="289" t="s">
        <v>2966</v>
      </c>
      <c r="I1511" s="289" t="s">
        <v>2967</v>
      </c>
    </row>
    <row r="1512" spans="1:9">
      <c r="A1512" s="290">
        <v>363057</v>
      </c>
      <c r="B1512" s="289" t="s">
        <v>630</v>
      </c>
      <c r="C1512" s="289" t="s">
        <v>1041</v>
      </c>
      <c r="D1512" s="289" t="s">
        <v>2968</v>
      </c>
      <c r="E1512" s="289" t="s">
        <v>2969</v>
      </c>
      <c r="F1512" s="289" t="s">
        <v>2970</v>
      </c>
      <c r="I1512" s="289" t="s">
        <v>2971</v>
      </c>
    </row>
    <row r="1513" spans="1:9">
      <c r="A1513" s="290">
        <v>365408</v>
      </c>
      <c r="B1513" s="289" t="s">
        <v>630</v>
      </c>
      <c r="C1513" s="289" t="s">
        <v>1041</v>
      </c>
      <c r="D1513" s="289" t="s">
        <v>2972</v>
      </c>
      <c r="E1513" s="289" t="s">
        <v>2973</v>
      </c>
      <c r="F1513" s="289" t="s">
        <v>2974</v>
      </c>
      <c r="I1513" s="289" t="s">
        <v>2975</v>
      </c>
    </row>
    <row r="1514" spans="1:9">
      <c r="A1514" s="290">
        <v>374756</v>
      </c>
      <c r="B1514" s="289" t="s">
        <v>630</v>
      </c>
      <c r="C1514" s="289" t="s">
        <v>1041</v>
      </c>
      <c r="D1514" s="289" t="s">
        <v>3037</v>
      </c>
      <c r="E1514" s="289" t="s">
        <v>3038</v>
      </c>
      <c r="F1514" s="289" t="s">
        <v>3039</v>
      </c>
      <c r="I1514" s="289" t="s">
        <v>3040</v>
      </c>
    </row>
    <row r="1515" spans="1:9">
      <c r="A1515" s="290">
        <v>374767</v>
      </c>
      <c r="B1515" s="289" t="s">
        <v>630</v>
      </c>
      <c r="C1515" s="289" t="s">
        <v>1041</v>
      </c>
      <c r="D1515" s="289" t="s">
        <v>3041</v>
      </c>
      <c r="E1515" s="289" t="s">
        <v>3042</v>
      </c>
      <c r="F1515" s="289" t="s">
        <v>3043</v>
      </c>
      <c r="I1515" s="289" t="s">
        <v>3044</v>
      </c>
    </row>
    <row r="1516" spans="1:9">
      <c r="A1516" s="290">
        <v>376815</v>
      </c>
      <c r="B1516" s="289" t="s">
        <v>630</v>
      </c>
      <c r="C1516" s="289" t="s">
        <v>1041</v>
      </c>
      <c r="D1516" s="289" t="s">
        <v>3053</v>
      </c>
      <c r="E1516" s="289" t="s">
        <v>3054</v>
      </c>
      <c r="F1516" s="289" t="s">
        <v>4953</v>
      </c>
      <c r="I1516" s="289" t="s">
        <v>3055</v>
      </c>
    </row>
    <row r="1517" spans="1:9">
      <c r="A1517" s="290">
        <v>377186</v>
      </c>
      <c r="B1517" s="289" t="s">
        <v>630</v>
      </c>
      <c r="C1517" s="289" t="s">
        <v>1041</v>
      </c>
      <c r="D1517" s="289" t="s">
        <v>3056</v>
      </c>
      <c r="E1517" s="289" t="s">
        <v>3057</v>
      </c>
      <c r="F1517" s="289" t="s">
        <v>4954</v>
      </c>
      <c r="I1517" s="289" t="s">
        <v>3058</v>
      </c>
    </row>
    <row r="1518" spans="1:9">
      <c r="A1518" s="290">
        <v>387828</v>
      </c>
      <c r="B1518" s="289" t="s">
        <v>630</v>
      </c>
      <c r="C1518" s="289" t="s">
        <v>1041</v>
      </c>
      <c r="D1518" s="289" t="s">
        <v>4728</v>
      </c>
      <c r="E1518" s="289" t="s">
        <v>4729</v>
      </c>
      <c r="F1518" s="289" t="s">
        <v>4730</v>
      </c>
      <c r="I1518" s="289" t="s">
        <v>3073</v>
      </c>
    </row>
    <row r="1519" spans="1:9">
      <c r="A1519" s="290">
        <v>387840</v>
      </c>
      <c r="B1519" s="289" t="s">
        <v>630</v>
      </c>
      <c r="C1519" s="289" t="s">
        <v>1041</v>
      </c>
      <c r="D1519" s="289" t="s">
        <v>4955</v>
      </c>
      <c r="E1519" s="289" t="s">
        <v>4956</v>
      </c>
      <c r="F1519" s="289" t="s">
        <v>4957</v>
      </c>
      <c r="I1519" s="289" t="s">
        <v>4958</v>
      </c>
    </row>
    <row r="1520" spans="1:9">
      <c r="A1520" s="290">
        <v>387851</v>
      </c>
      <c r="B1520" s="289" t="s">
        <v>630</v>
      </c>
      <c r="C1520" s="289" t="s">
        <v>1041</v>
      </c>
      <c r="D1520" s="289" t="s">
        <v>4959</v>
      </c>
      <c r="E1520" s="289" t="s">
        <v>4960</v>
      </c>
      <c r="F1520" s="289" t="s">
        <v>4961</v>
      </c>
      <c r="I1520" s="289" t="s">
        <v>4962</v>
      </c>
    </row>
    <row r="1521" spans="1:9">
      <c r="A1521" s="290">
        <v>387862</v>
      </c>
      <c r="B1521" s="289" t="s">
        <v>630</v>
      </c>
      <c r="C1521" s="289" t="s">
        <v>1041</v>
      </c>
      <c r="D1521" s="289" t="s">
        <v>4963</v>
      </c>
      <c r="E1521" s="289" t="s">
        <v>4964</v>
      </c>
      <c r="F1521" s="289" t="s">
        <v>4965</v>
      </c>
      <c r="I1521" s="289" t="s">
        <v>4966</v>
      </c>
    </row>
    <row r="1522" spans="1:9">
      <c r="A1522" s="290">
        <v>387884</v>
      </c>
      <c r="B1522" s="289" t="s">
        <v>630</v>
      </c>
      <c r="C1522" s="289" t="s">
        <v>1041</v>
      </c>
      <c r="D1522" s="289" t="s">
        <v>3074</v>
      </c>
      <c r="E1522" s="289" t="s">
        <v>3075</v>
      </c>
      <c r="F1522" s="289" t="s">
        <v>3076</v>
      </c>
      <c r="I1522" s="289" t="s">
        <v>3077</v>
      </c>
    </row>
    <row r="1523" spans="1:9">
      <c r="A1523" s="290">
        <v>387895</v>
      </c>
      <c r="B1523" s="289" t="s">
        <v>630</v>
      </c>
      <c r="C1523" s="289" t="s">
        <v>1041</v>
      </c>
      <c r="D1523" s="289" t="s">
        <v>3078</v>
      </c>
      <c r="E1523" s="289" t="s">
        <v>3079</v>
      </c>
      <c r="F1523" s="289" t="s">
        <v>3080</v>
      </c>
      <c r="I1523" s="289" t="s">
        <v>3081</v>
      </c>
    </row>
    <row r="1524" spans="1:9">
      <c r="A1524" s="290">
        <v>389864</v>
      </c>
      <c r="B1524" s="289" t="s">
        <v>630</v>
      </c>
      <c r="C1524" s="289" t="s">
        <v>1041</v>
      </c>
      <c r="D1524" s="289" t="s">
        <v>3088</v>
      </c>
      <c r="E1524" s="289" t="s">
        <v>3089</v>
      </c>
      <c r="F1524" s="289" t="s">
        <v>3090</v>
      </c>
      <c r="I1524" s="289" t="s">
        <v>3091</v>
      </c>
    </row>
    <row r="1525" spans="1:9">
      <c r="A1525" s="290">
        <v>401870</v>
      </c>
      <c r="B1525" s="289" t="s">
        <v>630</v>
      </c>
      <c r="C1525" s="289" t="s">
        <v>1041</v>
      </c>
      <c r="D1525" s="289" t="s">
        <v>3127</v>
      </c>
      <c r="E1525" s="289" t="s">
        <v>3128</v>
      </c>
      <c r="F1525" s="289" t="s">
        <v>3129</v>
      </c>
      <c r="I1525" s="289" t="s">
        <v>3130</v>
      </c>
    </row>
    <row r="1526" spans="1:9">
      <c r="A1526" s="290">
        <v>401881</v>
      </c>
      <c r="B1526" s="289" t="s">
        <v>630</v>
      </c>
      <c r="C1526" s="289" t="s">
        <v>1041</v>
      </c>
      <c r="D1526" s="289" t="s">
        <v>3131</v>
      </c>
      <c r="E1526" s="289" t="s">
        <v>3132</v>
      </c>
      <c r="F1526" s="289" t="s">
        <v>4967</v>
      </c>
      <c r="I1526" s="289" t="s">
        <v>3133</v>
      </c>
    </row>
    <row r="1527" spans="1:9">
      <c r="A1527" s="290">
        <v>401926</v>
      </c>
      <c r="B1527" s="289" t="s">
        <v>630</v>
      </c>
      <c r="C1527" s="289" t="s">
        <v>1041</v>
      </c>
      <c r="D1527" s="289" t="s">
        <v>3134</v>
      </c>
      <c r="E1527" s="289" t="s">
        <v>3135</v>
      </c>
      <c r="F1527" s="289" t="s">
        <v>3136</v>
      </c>
      <c r="I1527" s="289" t="s">
        <v>3137</v>
      </c>
    </row>
    <row r="1528" spans="1:9">
      <c r="A1528" s="290">
        <v>401948</v>
      </c>
      <c r="B1528" s="289" t="s">
        <v>630</v>
      </c>
      <c r="C1528" s="289" t="s">
        <v>1041</v>
      </c>
      <c r="D1528" s="289" t="s">
        <v>3138</v>
      </c>
      <c r="E1528" s="289" t="s">
        <v>3139</v>
      </c>
      <c r="F1528" s="289" t="s">
        <v>3140</v>
      </c>
      <c r="I1528" s="289" t="s">
        <v>3141</v>
      </c>
    </row>
    <row r="1529" spans="1:9">
      <c r="A1529" s="290">
        <v>401959</v>
      </c>
      <c r="B1529" s="289" t="s">
        <v>630</v>
      </c>
      <c r="C1529" s="289" t="s">
        <v>1041</v>
      </c>
      <c r="D1529" s="289" t="s">
        <v>3142</v>
      </c>
      <c r="E1529" s="289" t="s">
        <v>3143</v>
      </c>
      <c r="F1529" s="289" t="s">
        <v>3144</v>
      </c>
      <c r="I1529" s="289" t="s">
        <v>3145</v>
      </c>
    </row>
    <row r="1530" spans="1:9">
      <c r="A1530" s="290">
        <v>401971</v>
      </c>
      <c r="B1530" s="289" t="s">
        <v>630</v>
      </c>
      <c r="C1530" s="289" t="s">
        <v>1041</v>
      </c>
      <c r="D1530" s="289" t="s">
        <v>3146</v>
      </c>
      <c r="E1530" s="289" t="s">
        <v>3147</v>
      </c>
      <c r="F1530" s="289" t="s">
        <v>3148</v>
      </c>
      <c r="I1530" s="289" t="s">
        <v>3149</v>
      </c>
    </row>
    <row r="1531" spans="1:9">
      <c r="A1531" s="290">
        <v>401982</v>
      </c>
      <c r="B1531" s="289" t="s">
        <v>630</v>
      </c>
      <c r="C1531" s="289" t="s">
        <v>1041</v>
      </c>
      <c r="D1531" s="289" t="s">
        <v>3150</v>
      </c>
      <c r="E1531" s="289" t="s">
        <v>3151</v>
      </c>
      <c r="F1531" s="289" t="s">
        <v>3152</v>
      </c>
      <c r="I1531" s="289" t="s">
        <v>3153</v>
      </c>
    </row>
    <row r="1532" spans="1:9">
      <c r="A1532" s="290">
        <v>402006</v>
      </c>
      <c r="B1532" s="289" t="s">
        <v>630</v>
      </c>
      <c r="C1532" s="289" t="s">
        <v>1041</v>
      </c>
      <c r="D1532" s="289" t="s">
        <v>3154</v>
      </c>
      <c r="E1532" s="289" t="s">
        <v>3155</v>
      </c>
      <c r="F1532" s="289" t="s">
        <v>4968</v>
      </c>
      <c r="I1532" s="289" t="s">
        <v>3156</v>
      </c>
    </row>
    <row r="1533" spans="1:9">
      <c r="A1533" s="290">
        <v>404637</v>
      </c>
      <c r="B1533" s="289" t="s">
        <v>630</v>
      </c>
      <c r="C1533" s="289" t="s">
        <v>1041</v>
      </c>
      <c r="D1533" s="289" t="s">
        <v>3169</v>
      </c>
      <c r="E1533" s="289" t="s">
        <v>3170</v>
      </c>
      <c r="F1533" s="289" t="s">
        <v>3171</v>
      </c>
      <c r="I1533" s="289" t="s">
        <v>3172</v>
      </c>
    </row>
    <row r="1534" spans="1:9">
      <c r="A1534" s="290">
        <v>405391</v>
      </c>
      <c r="B1534" s="289" t="s">
        <v>630</v>
      </c>
      <c r="C1534" s="289" t="s">
        <v>1041</v>
      </c>
      <c r="D1534" s="289" t="s">
        <v>3173</v>
      </c>
      <c r="E1534" s="289" t="s">
        <v>3174</v>
      </c>
      <c r="F1534" s="289" t="s">
        <v>3175</v>
      </c>
      <c r="I1534" s="289" t="s">
        <v>3176</v>
      </c>
    </row>
    <row r="1535" spans="1:9">
      <c r="A1535" s="290">
        <v>405414</v>
      </c>
      <c r="B1535" s="289" t="s">
        <v>630</v>
      </c>
      <c r="C1535" s="289" t="s">
        <v>1041</v>
      </c>
      <c r="D1535" s="289" t="s">
        <v>3177</v>
      </c>
      <c r="E1535" s="289" t="s">
        <v>3178</v>
      </c>
      <c r="F1535" s="289" t="s">
        <v>3179</v>
      </c>
      <c r="I1535" s="289" t="s">
        <v>3180</v>
      </c>
    </row>
    <row r="1536" spans="1:9">
      <c r="A1536" s="290">
        <v>405773</v>
      </c>
      <c r="B1536" s="289" t="s">
        <v>630</v>
      </c>
      <c r="C1536" s="289" t="s">
        <v>1041</v>
      </c>
      <c r="D1536" s="289" t="s">
        <v>3187</v>
      </c>
      <c r="E1536" s="289" t="s">
        <v>3188</v>
      </c>
      <c r="F1536" s="289" t="s">
        <v>3189</v>
      </c>
      <c r="I1536" s="289" t="s">
        <v>3190</v>
      </c>
    </row>
    <row r="1537" spans="1:9">
      <c r="A1537" s="290">
        <v>405841</v>
      </c>
      <c r="B1537" s="289" t="s">
        <v>630</v>
      </c>
      <c r="C1537" s="289" t="s">
        <v>1041</v>
      </c>
      <c r="D1537" s="289" t="s">
        <v>3191</v>
      </c>
      <c r="E1537" s="289" t="s">
        <v>3192</v>
      </c>
      <c r="F1537" s="289" t="s">
        <v>3193</v>
      </c>
      <c r="I1537" s="289" t="s">
        <v>3194</v>
      </c>
    </row>
    <row r="1538" spans="1:9">
      <c r="A1538" s="290">
        <v>417855</v>
      </c>
      <c r="B1538" s="289" t="s">
        <v>630</v>
      </c>
      <c r="C1538" s="289" t="s">
        <v>1041</v>
      </c>
      <c r="D1538" s="289" t="s">
        <v>3266</v>
      </c>
      <c r="E1538" s="289" t="s">
        <v>3267</v>
      </c>
      <c r="F1538" s="289" t="s">
        <v>3268</v>
      </c>
      <c r="I1538" s="289" t="s">
        <v>3269</v>
      </c>
    </row>
    <row r="1539" spans="1:9">
      <c r="A1539" s="290">
        <v>417877</v>
      </c>
      <c r="B1539" s="289" t="s">
        <v>630</v>
      </c>
      <c r="C1539" s="289" t="s">
        <v>1041</v>
      </c>
      <c r="D1539" s="289" t="s">
        <v>3270</v>
      </c>
      <c r="E1539" s="289" t="s">
        <v>3271</v>
      </c>
      <c r="F1539" s="289" t="s">
        <v>3272</v>
      </c>
      <c r="I1539" s="289" t="s">
        <v>3273</v>
      </c>
    </row>
    <row r="1540" spans="1:9">
      <c r="A1540" s="290">
        <v>417888</v>
      </c>
      <c r="B1540" s="289" t="s">
        <v>630</v>
      </c>
      <c r="C1540" s="289" t="s">
        <v>1041</v>
      </c>
      <c r="D1540" s="289" t="s">
        <v>3274</v>
      </c>
      <c r="E1540" s="289" t="s">
        <v>3275</v>
      </c>
      <c r="F1540" s="289" t="s">
        <v>3276</v>
      </c>
      <c r="I1540" s="289" t="s">
        <v>3277</v>
      </c>
    </row>
    <row r="1541" spans="1:9">
      <c r="A1541" s="290">
        <v>417899</v>
      </c>
      <c r="B1541" s="289" t="s">
        <v>630</v>
      </c>
      <c r="C1541" s="289" t="s">
        <v>1041</v>
      </c>
      <c r="D1541" s="289" t="s">
        <v>4972</v>
      </c>
      <c r="E1541" s="289" t="s">
        <v>4973</v>
      </c>
      <c r="F1541" s="289" t="s">
        <v>4974</v>
      </c>
      <c r="I1541" s="289" t="s">
        <v>4975</v>
      </c>
    </row>
    <row r="1542" spans="1:9">
      <c r="A1542" s="290">
        <v>417912</v>
      </c>
      <c r="B1542" s="289" t="s">
        <v>630</v>
      </c>
      <c r="C1542" s="289" t="s">
        <v>1041</v>
      </c>
      <c r="D1542" s="289" t="s">
        <v>3278</v>
      </c>
      <c r="E1542" s="289" t="s">
        <v>3279</v>
      </c>
      <c r="F1542" s="289" t="s">
        <v>3280</v>
      </c>
      <c r="I1542" s="289" t="s">
        <v>3281</v>
      </c>
    </row>
    <row r="1543" spans="1:9">
      <c r="A1543" s="290">
        <v>417934</v>
      </c>
      <c r="B1543" s="289" t="s">
        <v>630</v>
      </c>
      <c r="C1543" s="289" t="s">
        <v>1041</v>
      </c>
      <c r="D1543" s="289" t="s">
        <v>3282</v>
      </c>
      <c r="E1543" s="289" t="s">
        <v>3283</v>
      </c>
      <c r="F1543" s="289" t="s">
        <v>3284</v>
      </c>
      <c r="I1543" s="289" t="s">
        <v>3285</v>
      </c>
    </row>
    <row r="1544" spans="1:9">
      <c r="A1544" s="290">
        <v>417945</v>
      </c>
      <c r="B1544" s="289" t="s">
        <v>630</v>
      </c>
      <c r="C1544" s="289" t="s">
        <v>1041</v>
      </c>
      <c r="D1544" s="289" t="s">
        <v>3286</v>
      </c>
      <c r="E1544" s="289" t="s">
        <v>3287</v>
      </c>
      <c r="F1544" s="289" t="s">
        <v>3288</v>
      </c>
      <c r="I1544" s="289" t="s">
        <v>3289</v>
      </c>
    </row>
    <row r="1545" spans="1:9">
      <c r="A1545" s="290">
        <v>417967</v>
      </c>
      <c r="B1545" s="289" t="s">
        <v>630</v>
      </c>
      <c r="C1545" s="289" t="s">
        <v>1041</v>
      </c>
      <c r="D1545" s="289" t="s">
        <v>3290</v>
      </c>
      <c r="E1545" s="289" t="s">
        <v>3291</v>
      </c>
      <c r="F1545" s="289" t="s">
        <v>3292</v>
      </c>
      <c r="I1545" s="289" t="s">
        <v>3293</v>
      </c>
    </row>
    <row r="1546" spans="1:9">
      <c r="A1546" s="290">
        <v>420769</v>
      </c>
      <c r="B1546" s="289" t="s">
        <v>630</v>
      </c>
      <c r="C1546" s="289" t="s">
        <v>1041</v>
      </c>
      <c r="D1546" s="289" t="s">
        <v>3370</v>
      </c>
      <c r="E1546" s="289" t="s">
        <v>3371</v>
      </c>
      <c r="F1546" s="289" t="s">
        <v>3372</v>
      </c>
      <c r="I1546" s="289" t="s">
        <v>3373</v>
      </c>
    </row>
    <row r="1547" spans="1:9">
      <c r="A1547" s="290">
        <v>421782</v>
      </c>
      <c r="B1547" s="289" t="s">
        <v>630</v>
      </c>
      <c r="C1547" s="289" t="s">
        <v>1041</v>
      </c>
      <c r="D1547" s="289" t="s">
        <v>3374</v>
      </c>
      <c r="E1547" s="289" t="s">
        <v>3375</v>
      </c>
      <c r="F1547" s="289" t="s">
        <v>3376</v>
      </c>
      <c r="I1547" s="289" t="s">
        <v>3377</v>
      </c>
    </row>
    <row r="1548" spans="1:9">
      <c r="A1548" s="290">
        <v>422053</v>
      </c>
      <c r="B1548" s="289" t="s">
        <v>630</v>
      </c>
      <c r="C1548" s="289" t="s">
        <v>1041</v>
      </c>
      <c r="D1548" s="289" t="s">
        <v>3378</v>
      </c>
      <c r="E1548" s="289" t="s">
        <v>3379</v>
      </c>
      <c r="F1548" s="289" t="s">
        <v>3380</v>
      </c>
      <c r="I1548" s="289" t="s">
        <v>3381</v>
      </c>
    </row>
    <row r="1549" spans="1:9">
      <c r="A1549" s="290">
        <v>434720</v>
      </c>
      <c r="B1549" s="289" t="s">
        <v>630</v>
      </c>
      <c r="C1549" s="289" t="s">
        <v>1041</v>
      </c>
      <c r="D1549" s="289" t="s">
        <v>3454</v>
      </c>
      <c r="E1549" s="289" t="s">
        <v>3455</v>
      </c>
      <c r="F1549" s="289" t="s">
        <v>3456</v>
      </c>
      <c r="I1549" s="289" t="s">
        <v>3457</v>
      </c>
    </row>
    <row r="1550" spans="1:9">
      <c r="A1550" s="290">
        <v>434753</v>
      </c>
      <c r="B1550" s="289" t="s">
        <v>630</v>
      </c>
      <c r="C1550" s="289" t="s">
        <v>1041</v>
      </c>
      <c r="D1550" s="289" t="s">
        <v>3458</v>
      </c>
      <c r="E1550" s="289" t="s">
        <v>3459</v>
      </c>
      <c r="F1550" s="289" t="s">
        <v>3460</v>
      </c>
      <c r="I1550" s="289" t="s">
        <v>3461</v>
      </c>
    </row>
    <row r="1551" spans="1:9">
      <c r="A1551" s="290">
        <v>434764</v>
      </c>
      <c r="B1551" s="289" t="s">
        <v>630</v>
      </c>
      <c r="C1551" s="289" t="s">
        <v>1041</v>
      </c>
      <c r="D1551" s="289" t="s">
        <v>3462</v>
      </c>
      <c r="E1551" s="289" t="s">
        <v>3463</v>
      </c>
      <c r="F1551" s="289" t="s">
        <v>3464</v>
      </c>
      <c r="I1551" s="289" t="s">
        <v>3465</v>
      </c>
    </row>
    <row r="1552" spans="1:9">
      <c r="A1552" s="290">
        <v>434775</v>
      </c>
      <c r="B1552" s="289" t="s">
        <v>630</v>
      </c>
      <c r="C1552" s="289" t="s">
        <v>1041</v>
      </c>
      <c r="D1552" s="289" t="s">
        <v>3466</v>
      </c>
      <c r="E1552" s="289" t="s">
        <v>3467</v>
      </c>
      <c r="F1552" s="289" t="s">
        <v>3468</v>
      </c>
      <c r="I1552" s="289" t="s">
        <v>3469</v>
      </c>
    </row>
    <row r="1553" spans="1:9">
      <c r="A1553" s="290">
        <v>434955</v>
      </c>
      <c r="B1553" s="289" t="s">
        <v>630</v>
      </c>
      <c r="C1553" s="289" t="s">
        <v>1041</v>
      </c>
      <c r="D1553" s="289" t="s">
        <v>3470</v>
      </c>
      <c r="E1553" s="289" t="s">
        <v>3471</v>
      </c>
      <c r="F1553" s="289" t="s">
        <v>3472</v>
      </c>
      <c r="I1553" s="289" t="s">
        <v>3473</v>
      </c>
    </row>
    <row r="1554" spans="1:9">
      <c r="A1554" s="290">
        <v>434977</v>
      </c>
      <c r="B1554" s="289" t="s">
        <v>630</v>
      </c>
      <c r="C1554" s="289" t="s">
        <v>1041</v>
      </c>
      <c r="D1554" s="289" t="s">
        <v>3474</v>
      </c>
      <c r="E1554" s="289" t="s">
        <v>3475</v>
      </c>
      <c r="F1554" s="289" t="s">
        <v>3476</v>
      </c>
      <c r="I1554" s="289" t="s">
        <v>3477</v>
      </c>
    </row>
    <row r="1555" spans="1:9">
      <c r="A1555" s="290">
        <v>435024</v>
      </c>
      <c r="B1555" s="289" t="s">
        <v>630</v>
      </c>
      <c r="C1555" s="289" t="s">
        <v>1041</v>
      </c>
      <c r="D1555" s="289" t="s">
        <v>4979</v>
      </c>
      <c r="E1555" s="289" t="s">
        <v>4980</v>
      </c>
      <c r="F1555" s="289" t="s">
        <v>4981</v>
      </c>
      <c r="I1555" s="289" t="s">
        <v>4982</v>
      </c>
    </row>
    <row r="1556" spans="1:9">
      <c r="A1556" s="290">
        <v>435035</v>
      </c>
      <c r="B1556" s="289" t="s">
        <v>630</v>
      </c>
      <c r="C1556" s="289" t="s">
        <v>1041</v>
      </c>
      <c r="D1556" s="289" t="s">
        <v>3478</v>
      </c>
      <c r="E1556" s="289" t="s">
        <v>3479</v>
      </c>
      <c r="F1556" s="289" t="s">
        <v>3480</v>
      </c>
      <c r="I1556" s="289" t="s">
        <v>3481</v>
      </c>
    </row>
    <row r="1557" spans="1:9">
      <c r="A1557" s="290">
        <v>435271</v>
      </c>
      <c r="B1557" s="289" t="s">
        <v>630</v>
      </c>
      <c r="C1557" s="289" t="s">
        <v>1041</v>
      </c>
      <c r="D1557" s="289" t="s">
        <v>4983</v>
      </c>
      <c r="E1557" s="289" t="s">
        <v>4984</v>
      </c>
      <c r="F1557" s="289" t="s">
        <v>4985</v>
      </c>
      <c r="I1557" s="289" t="s">
        <v>4986</v>
      </c>
    </row>
    <row r="1558" spans="1:9">
      <c r="A1558" s="290">
        <v>447050</v>
      </c>
      <c r="B1558" s="289" t="s">
        <v>630</v>
      </c>
      <c r="C1558" s="289" t="s">
        <v>1041</v>
      </c>
      <c r="D1558" s="289" t="s">
        <v>3554</v>
      </c>
      <c r="E1558" s="289" t="s">
        <v>3555</v>
      </c>
      <c r="F1558" s="289" t="s">
        <v>3556</v>
      </c>
      <c r="I1558" s="289" t="s">
        <v>3557</v>
      </c>
    </row>
    <row r="1559" spans="1:9">
      <c r="A1559" s="290">
        <v>447959</v>
      </c>
      <c r="B1559" s="289" t="s">
        <v>630</v>
      </c>
      <c r="C1559" s="289" t="s">
        <v>1041</v>
      </c>
      <c r="D1559" s="289" t="s">
        <v>3560</v>
      </c>
      <c r="E1559" s="289" t="s">
        <v>3561</v>
      </c>
      <c r="F1559" s="289" t="s">
        <v>3562</v>
      </c>
      <c r="I1559" s="289" t="s">
        <v>3563</v>
      </c>
    </row>
    <row r="1560" spans="1:9">
      <c r="A1560" s="290">
        <v>448893</v>
      </c>
      <c r="B1560" s="289" t="s">
        <v>630</v>
      </c>
      <c r="C1560" s="289" t="s">
        <v>1041</v>
      </c>
      <c r="D1560" s="289" t="s">
        <v>3564</v>
      </c>
      <c r="E1560" s="289" t="s">
        <v>3565</v>
      </c>
      <c r="F1560" s="289" t="s">
        <v>3566</v>
      </c>
      <c r="I1560" s="289" t="s">
        <v>3567</v>
      </c>
    </row>
    <row r="1561" spans="1:9">
      <c r="A1561" s="290">
        <v>448938</v>
      </c>
      <c r="B1561" s="289" t="s">
        <v>630</v>
      </c>
      <c r="C1561" s="289" t="s">
        <v>1041</v>
      </c>
      <c r="D1561" s="289" t="s">
        <v>3568</v>
      </c>
      <c r="E1561" s="289" t="s">
        <v>3569</v>
      </c>
      <c r="F1561" s="289" t="s">
        <v>3570</v>
      </c>
      <c r="I1561" s="289" t="s">
        <v>3571</v>
      </c>
    </row>
    <row r="1562" spans="1:9">
      <c r="A1562" s="290">
        <v>449232</v>
      </c>
      <c r="B1562" s="289" t="s">
        <v>630</v>
      </c>
      <c r="C1562" s="289" t="s">
        <v>1041</v>
      </c>
      <c r="D1562" s="289" t="s">
        <v>3572</v>
      </c>
      <c r="E1562" s="289" t="s">
        <v>3573</v>
      </c>
      <c r="F1562" s="289" t="s">
        <v>3574</v>
      </c>
      <c r="I1562" s="289" t="s">
        <v>3575</v>
      </c>
    </row>
    <row r="1563" spans="1:9">
      <c r="A1563" s="290">
        <v>449243</v>
      </c>
      <c r="B1563" s="289" t="s">
        <v>630</v>
      </c>
      <c r="C1563" s="289" t="s">
        <v>1041</v>
      </c>
      <c r="D1563" s="289" t="s">
        <v>3576</v>
      </c>
      <c r="E1563" s="289" t="s">
        <v>3577</v>
      </c>
      <c r="F1563" s="289" t="s">
        <v>3578</v>
      </c>
      <c r="I1563" s="289" t="s">
        <v>3579</v>
      </c>
    </row>
    <row r="1564" spans="1:9">
      <c r="A1564" s="290">
        <v>450762</v>
      </c>
      <c r="B1564" s="289" t="s">
        <v>630</v>
      </c>
      <c r="C1564" s="289" t="s">
        <v>1041</v>
      </c>
      <c r="D1564" s="289" t="s">
        <v>3583</v>
      </c>
      <c r="E1564" s="289" t="s">
        <v>3584</v>
      </c>
      <c r="F1564" s="289" t="s">
        <v>3585</v>
      </c>
      <c r="I1564" s="289" t="s">
        <v>3586</v>
      </c>
    </row>
    <row r="1565" spans="1:9">
      <c r="A1565" s="290">
        <v>450920</v>
      </c>
      <c r="B1565" s="289" t="s">
        <v>630</v>
      </c>
      <c r="C1565" s="289" t="s">
        <v>1041</v>
      </c>
      <c r="D1565" s="289" t="s">
        <v>3587</v>
      </c>
      <c r="E1565" s="289" t="s">
        <v>3588</v>
      </c>
      <c r="F1565" s="289" t="s">
        <v>3589</v>
      </c>
      <c r="I1565" s="289" t="s">
        <v>3590</v>
      </c>
    </row>
    <row r="1566" spans="1:9">
      <c r="A1566" s="290">
        <v>460774</v>
      </c>
      <c r="B1566" s="289" t="s">
        <v>630</v>
      </c>
      <c r="C1566" s="289" t="s">
        <v>1041</v>
      </c>
      <c r="D1566" s="289" t="s">
        <v>3638</v>
      </c>
      <c r="E1566" s="289" t="s">
        <v>3639</v>
      </c>
      <c r="F1566" s="289" t="s">
        <v>3640</v>
      </c>
      <c r="I1566" s="289" t="s">
        <v>3641</v>
      </c>
    </row>
    <row r="1567" spans="1:9">
      <c r="A1567" s="290">
        <v>460785</v>
      </c>
      <c r="B1567" s="289" t="s">
        <v>630</v>
      </c>
      <c r="C1567" s="289" t="s">
        <v>1041</v>
      </c>
      <c r="D1567" s="289" t="s">
        <v>3642</v>
      </c>
      <c r="E1567" s="289" t="s">
        <v>3643</v>
      </c>
      <c r="F1567" s="289" t="s">
        <v>3644</v>
      </c>
      <c r="I1567" s="289" t="s">
        <v>3645</v>
      </c>
    </row>
    <row r="1568" spans="1:9">
      <c r="A1568" s="290">
        <v>460853</v>
      </c>
      <c r="B1568" s="289" t="s">
        <v>630</v>
      </c>
      <c r="C1568" s="289" t="s">
        <v>1041</v>
      </c>
      <c r="D1568" s="289" t="s">
        <v>3646</v>
      </c>
      <c r="E1568" s="289" t="s">
        <v>3647</v>
      </c>
      <c r="F1568" s="289" t="s">
        <v>3648</v>
      </c>
      <c r="I1568" s="289" t="s">
        <v>3649</v>
      </c>
    </row>
    <row r="1569" spans="1:9">
      <c r="A1569" s="290">
        <v>462057</v>
      </c>
      <c r="B1569" s="289" t="s">
        <v>630</v>
      </c>
      <c r="C1569" s="289" t="s">
        <v>1041</v>
      </c>
      <c r="D1569" s="289" t="s">
        <v>3650</v>
      </c>
      <c r="E1569" s="289" t="s">
        <v>3651</v>
      </c>
      <c r="F1569" s="289" t="s">
        <v>3652</v>
      </c>
      <c r="I1569" s="289" t="s">
        <v>3653</v>
      </c>
    </row>
    <row r="1570" spans="1:9">
      <c r="A1570" s="290">
        <v>463452</v>
      </c>
      <c r="B1570" s="289" t="s">
        <v>630</v>
      </c>
      <c r="C1570" s="289" t="s">
        <v>1041</v>
      </c>
      <c r="D1570" s="289" t="s">
        <v>3657</v>
      </c>
      <c r="E1570" s="289" t="s">
        <v>3658</v>
      </c>
      <c r="F1570" s="289" t="s">
        <v>3659</v>
      </c>
      <c r="I1570" s="289" t="s">
        <v>3660</v>
      </c>
    </row>
    <row r="1571" spans="1:9">
      <c r="A1571" s="290">
        <v>481777</v>
      </c>
      <c r="B1571" s="289" t="s">
        <v>630</v>
      </c>
      <c r="C1571" s="289" t="s">
        <v>1041</v>
      </c>
      <c r="D1571" s="289" t="s">
        <v>3738</v>
      </c>
      <c r="E1571" s="289" t="s">
        <v>3739</v>
      </c>
      <c r="F1571" s="289" t="s">
        <v>3740</v>
      </c>
      <c r="I1571" s="289" t="s">
        <v>3741</v>
      </c>
    </row>
    <row r="1572" spans="1:9">
      <c r="A1572" s="290">
        <v>481788</v>
      </c>
      <c r="B1572" s="289" t="s">
        <v>630</v>
      </c>
      <c r="C1572" s="289" t="s">
        <v>1041</v>
      </c>
      <c r="D1572" s="289" t="s">
        <v>3742</v>
      </c>
      <c r="E1572" s="289" t="s">
        <v>3743</v>
      </c>
      <c r="F1572" s="289" t="s">
        <v>3744</v>
      </c>
      <c r="I1572" s="289" t="s">
        <v>3745</v>
      </c>
    </row>
    <row r="1573" spans="1:9">
      <c r="A1573" s="290">
        <v>482396</v>
      </c>
      <c r="B1573" s="289" t="s">
        <v>630</v>
      </c>
      <c r="C1573" s="289" t="s">
        <v>1041</v>
      </c>
      <c r="D1573" s="289" t="s">
        <v>3746</v>
      </c>
      <c r="E1573" s="289" t="s">
        <v>3747</v>
      </c>
      <c r="F1573" s="289" t="s">
        <v>3748</v>
      </c>
      <c r="I1573" s="289" t="s">
        <v>3749</v>
      </c>
    </row>
    <row r="1574" spans="1:9">
      <c r="A1574" s="290">
        <v>491082</v>
      </c>
      <c r="B1574" s="289" t="s">
        <v>630</v>
      </c>
      <c r="C1574" s="289" t="s">
        <v>1041</v>
      </c>
      <c r="D1574" s="289" t="s">
        <v>3786</v>
      </c>
      <c r="E1574" s="289" t="s">
        <v>3787</v>
      </c>
      <c r="F1574" s="289" t="s">
        <v>3788</v>
      </c>
      <c r="I1574" s="289" t="s">
        <v>3789</v>
      </c>
    </row>
    <row r="1575" spans="1:9">
      <c r="A1575" s="290">
        <v>491105</v>
      </c>
      <c r="B1575" s="289" t="s">
        <v>630</v>
      </c>
      <c r="C1575" s="289" t="s">
        <v>1041</v>
      </c>
      <c r="D1575" s="289" t="s">
        <v>3790</v>
      </c>
      <c r="E1575" s="289" t="s">
        <v>3791</v>
      </c>
      <c r="F1575" s="289" t="s">
        <v>3792</v>
      </c>
      <c r="I1575" s="289" t="s">
        <v>3793</v>
      </c>
    </row>
    <row r="1576" spans="1:9">
      <c r="A1576" s="290">
        <v>491116</v>
      </c>
      <c r="B1576" s="289" t="s">
        <v>630</v>
      </c>
      <c r="C1576" s="289" t="s">
        <v>1041</v>
      </c>
      <c r="D1576" s="289" t="s">
        <v>3794</v>
      </c>
      <c r="E1576" s="289" t="s">
        <v>3795</v>
      </c>
      <c r="F1576" s="289" t="s">
        <v>3796</v>
      </c>
      <c r="I1576" s="289" t="s">
        <v>3797</v>
      </c>
    </row>
    <row r="1577" spans="1:9">
      <c r="A1577" s="290">
        <v>491778</v>
      </c>
      <c r="B1577" s="289" t="s">
        <v>630</v>
      </c>
      <c r="C1577" s="289" t="s">
        <v>1041</v>
      </c>
      <c r="D1577" s="289" t="s">
        <v>3804</v>
      </c>
      <c r="E1577" s="289" t="s">
        <v>3805</v>
      </c>
      <c r="F1577" s="289" t="s">
        <v>3806</v>
      </c>
      <c r="I1577" s="289" t="s">
        <v>3807</v>
      </c>
    </row>
    <row r="1578" spans="1:9">
      <c r="A1578" s="290">
        <v>491789</v>
      </c>
      <c r="B1578" s="289" t="s">
        <v>630</v>
      </c>
      <c r="C1578" s="289" t="s">
        <v>1041</v>
      </c>
      <c r="D1578" s="289" t="s">
        <v>3808</v>
      </c>
      <c r="E1578" s="289" t="s">
        <v>3809</v>
      </c>
      <c r="F1578" s="289" t="s">
        <v>3810</v>
      </c>
      <c r="I1578" s="289" t="s">
        <v>3811</v>
      </c>
    </row>
    <row r="1579" spans="1:9">
      <c r="A1579" s="290">
        <v>510231</v>
      </c>
      <c r="B1579" s="289" t="s">
        <v>630</v>
      </c>
      <c r="C1579" s="289" t="s">
        <v>1041</v>
      </c>
      <c r="D1579" s="289" t="s">
        <v>3910</v>
      </c>
      <c r="E1579" s="289" t="s">
        <v>3911</v>
      </c>
      <c r="F1579" s="289" t="s">
        <v>3912</v>
      </c>
      <c r="I1579" s="289" t="s">
        <v>3913</v>
      </c>
    </row>
    <row r="1580" spans="1:9">
      <c r="A1580" s="290">
        <v>510242</v>
      </c>
      <c r="B1580" s="289" t="s">
        <v>630</v>
      </c>
      <c r="C1580" s="289" t="s">
        <v>1041</v>
      </c>
      <c r="D1580" s="289" t="s">
        <v>3914</v>
      </c>
      <c r="E1580" s="289" t="s">
        <v>3915</v>
      </c>
      <c r="F1580" s="289" t="s">
        <v>3916</v>
      </c>
      <c r="I1580" s="289" t="s">
        <v>3917</v>
      </c>
    </row>
    <row r="1581" spans="1:9">
      <c r="A1581" s="290">
        <v>511984</v>
      </c>
      <c r="B1581" s="289" t="s">
        <v>630</v>
      </c>
      <c r="C1581" s="289" t="s">
        <v>1041</v>
      </c>
      <c r="D1581" s="289" t="s">
        <v>4990</v>
      </c>
      <c r="E1581" s="289" t="s">
        <v>4991</v>
      </c>
      <c r="F1581" s="289" t="s">
        <v>4992</v>
      </c>
      <c r="I1581" s="289" t="s">
        <v>4993</v>
      </c>
    </row>
    <row r="1582" spans="1:9">
      <c r="A1582" s="290">
        <v>1036725</v>
      </c>
      <c r="B1582" s="289" t="s">
        <v>630</v>
      </c>
      <c r="C1582" s="289" t="s">
        <v>1041</v>
      </c>
      <c r="D1582" s="289" t="s">
        <v>4090</v>
      </c>
      <c r="E1582" s="289" t="s">
        <v>4091</v>
      </c>
      <c r="F1582" s="289" t="s">
        <v>4092</v>
      </c>
      <c r="I1582" s="289" t="s">
        <v>4093</v>
      </c>
    </row>
    <row r="1583" spans="1:9">
      <c r="A1583" s="290">
        <v>1036954</v>
      </c>
      <c r="B1583" s="289" t="s">
        <v>630</v>
      </c>
      <c r="C1583" s="289" t="s">
        <v>1041</v>
      </c>
      <c r="D1583" s="289" t="s">
        <v>5000</v>
      </c>
      <c r="E1583" s="289" t="s">
        <v>5001</v>
      </c>
      <c r="F1583" s="289" t="s">
        <v>5002</v>
      </c>
      <c r="I1583" s="289" t="s">
        <v>5003</v>
      </c>
    </row>
    <row r="1584" spans="1:9">
      <c r="A1584" s="290">
        <v>1037357</v>
      </c>
      <c r="B1584" s="289" t="s">
        <v>630</v>
      </c>
      <c r="C1584" s="289" t="s">
        <v>1041</v>
      </c>
      <c r="D1584" s="289" t="s">
        <v>4094</v>
      </c>
      <c r="E1584" s="289" t="s">
        <v>4095</v>
      </c>
      <c r="F1584" s="289" t="s">
        <v>4096</v>
      </c>
      <c r="I1584" s="289" t="s">
        <v>4097</v>
      </c>
    </row>
    <row r="1585" spans="1:9">
      <c r="A1585" s="290">
        <v>1037449</v>
      </c>
      <c r="B1585" s="289" t="s">
        <v>630</v>
      </c>
      <c r="C1585" s="289" t="s">
        <v>1041</v>
      </c>
      <c r="D1585" s="289" t="s">
        <v>4098</v>
      </c>
      <c r="E1585" s="289" t="s">
        <v>4099</v>
      </c>
      <c r="F1585" s="289" t="s">
        <v>4100</v>
      </c>
      <c r="I1585" s="289" t="s">
        <v>4101</v>
      </c>
    </row>
    <row r="1586" spans="1:9">
      <c r="A1586" s="290">
        <v>1037609</v>
      </c>
      <c r="B1586" s="289" t="s">
        <v>630</v>
      </c>
      <c r="C1586" s="289" t="s">
        <v>1041</v>
      </c>
      <c r="D1586" s="289" t="s">
        <v>5004</v>
      </c>
      <c r="E1586" s="289" t="s">
        <v>5005</v>
      </c>
      <c r="F1586" s="289" t="s">
        <v>5006</v>
      </c>
      <c r="I1586" s="289" t="s">
        <v>5007</v>
      </c>
    </row>
    <row r="1587" spans="1:9">
      <c r="A1587" s="290">
        <v>1037739</v>
      </c>
      <c r="B1587" s="289" t="s">
        <v>630</v>
      </c>
      <c r="C1587" s="289" t="s">
        <v>1041</v>
      </c>
      <c r="D1587" s="289" t="s">
        <v>4102</v>
      </c>
      <c r="E1587" s="289" t="s">
        <v>4103</v>
      </c>
      <c r="F1587" s="289" t="s">
        <v>4104</v>
      </c>
      <c r="I1587" s="289" t="s">
        <v>4105</v>
      </c>
    </row>
    <row r="1588" spans="1:9">
      <c r="A1588" s="290">
        <v>1037746</v>
      </c>
      <c r="B1588" s="289" t="s">
        <v>630</v>
      </c>
      <c r="C1588" s="289" t="s">
        <v>1041</v>
      </c>
      <c r="D1588" s="289" t="s">
        <v>4106</v>
      </c>
      <c r="E1588" s="289" t="s">
        <v>4107</v>
      </c>
      <c r="F1588" s="289" t="s">
        <v>5008</v>
      </c>
      <c r="I1588" s="289" t="s">
        <v>4108</v>
      </c>
    </row>
    <row r="1589" spans="1:9">
      <c r="A1589" s="290">
        <v>1038132</v>
      </c>
      <c r="B1589" s="289" t="s">
        <v>630</v>
      </c>
      <c r="C1589" s="289" t="s">
        <v>1041</v>
      </c>
      <c r="D1589" s="289" t="s">
        <v>4112</v>
      </c>
      <c r="E1589" s="289" t="s">
        <v>4113</v>
      </c>
      <c r="F1589" s="289" t="s">
        <v>4114</v>
      </c>
      <c r="I1589" s="289" t="s">
        <v>4115</v>
      </c>
    </row>
    <row r="1590" spans="1:9">
      <c r="A1590" s="290">
        <v>1038804</v>
      </c>
      <c r="B1590" s="289" t="s">
        <v>630</v>
      </c>
      <c r="C1590" s="289" t="s">
        <v>1041</v>
      </c>
      <c r="D1590" s="289" t="s">
        <v>4118</v>
      </c>
      <c r="E1590" s="289" t="s">
        <v>4119</v>
      </c>
      <c r="F1590" s="289" t="s">
        <v>4120</v>
      </c>
      <c r="I1590" s="289" t="s">
        <v>4121</v>
      </c>
    </row>
    <row r="1591" spans="1:9">
      <c r="A1591" s="290">
        <v>1038811</v>
      </c>
      <c r="B1591" s="289" t="s">
        <v>630</v>
      </c>
      <c r="C1591" s="289" t="s">
        <v>1041</v>
      </c>
      <c r="D1591" s="289" t="s">
        <v>4122</v>
      </c>
      <c r="E1591" s="289" t="s">
        <v>4123</v>
      </c>
      <c r="F1591" s="289" t="s">
        <v>4124</v>
      </c>
      <c r="I1591" s="289" t="s">
        <v>4125</v>
      </c>
    </row>
    <row r="1592" spans="1:9">
      <c r="A1592" s="290">
        <v>1046953</v>
      </c>
      <c r="B1592" s="289" t="s">
        <v>630</v>
      </c>
      <c r="C1592" s="289" t="s">
        <v>1041</v>
      </c>
      <c r="D1592" s="289" t="s">
        <v>4187</v>
      </c>
      <c r="E1592" s="289" t="s">
        <v>4188</v>
      </c>
      <c r="F1592" s="289" t="s">
        <v>4189</v>
      </c>
      <c r="I1592" s="289" t="s">
        <v>4190</v>
      </c>
    </row>
    <row r="1593" spans="1:9">
      <c r="A1593" s="290">
        <v>1048353</v>
      </c>
      <c r="B1593" s="289" t="s">
        <v>630</v>
      </c>
      <c r="C1593" s="289" t="s">
        <v>1041</v>
      </c>
      <c r="D1593" s="289" t="s">
        <v>4191</v>
      </c>
      <c r="E1593" s="289" t="s">
        <v>4192</v>
      </c>
      <c r="F1593" s="289" t="s">
        <v>4193</v>
      </c>
      <c r="I1593" s="289" t="s">
        <v>4194</v>
      </c>
    </row>
    <row r="1594" spans="1:9">
      <c r="A1594" s="290">
        <v>1055580</v>
      </c>
      <c r="B1594" s="289" t="s">
        <v>630</v>
      </c>
      <c r="C1594" s="289" t="s">
        <v>1041</v>
      </c>
      <c r="D1594" s="289" t="s">
        <v>4249</v>
      </c>
      <c r="E1594" s="289" t="s">
        <v>4250</v>
      </c>
      <c r="F1594" s="289" t="s">
        <v>4251</v>
      </c>
      <c r="I1594" s="289" t="s">
        <v>4252</v>
      </c>
    </row>
    <row r="1595" spans="1:9">
      <c r="A1595" s="290">
        <v>1055696</v>
      </c>
      <c r="B1595" s="289" t="s">
        <v>630</v>
      </c>
      <c r="C1595" s="289" t="s">
        <v>1041</v>
      </c>
      <c r="D1595" s="289" t="s">
        <v>5009</v>
      </c>
      <c r="E1595" s="289" t="s">
        <v>5010</v>
      </c>
      <c r="F1595" s="289" t="s">
        <v>5011</v>
      </c>
      <c r="I1595" s="289" t="s">
        <v>5012</v>
      </c>
    </row>
    <row r="1596" spans="1:9">
      <c r="A1596" s="290">
        <v>1055788</v>
      </c>
      <c r="B1596" s="289" t="s">
        <v>630</v>
      </c>
      <c r="C1596" s="289" t="s">
        <v>1041</v>
      </c>
      <c r="D1596" s="289" t="s">
        <v>4253</v>
      </c>
      <c r="E1596" s="289" t="s">
        <v>4254</v>
      </c>
      <c r="F1596" s="289" t="s">
        <v>4255</v>
      </c>
      <c r="I1596" s="289" t="s">
        <v>4256</v>
      </c>
    </row>
    <row r="1597" spans="1:9">
      <c r="A1597" s="290">
        <v>1056716</v>
      </c>
      <c r="B1597" s="289" t="s">
        <v>630</v>
      </c>
      <c r="C1597" s="289" t="s">
        <v>1041</v>
      </c>
      <c r="D1597" s="289" t="s">
        <v>4260</v>
      </c>
      <c r="E1597" s="289" t="s">
        <v>4261</v>
      </c>
      <c r="F1597" s="289" t="s">
        <v>4262</v>
      </c>
      <c r="I1597" s="289" t="s">
        <v>4263</v>
      </c>
    </row>
    <row r="1598" spans="1:9">
      <c r="A1598" s="290">
        <v>1057485</v>
      </c>
      <c r="B1598" s="289" t="s">
        <v>630</v>
      </c>
      <c r="C1598" s="289" t="s">
        <v>1041</v>
      </c>
      <c r="D1598" s="289" t="s">
        <v>5013</v>
      </c>
      <c r="E1598" s="289" t="s">
        <v>5014</v>
      </c>
      <c r="F1598" s="289" t="s">
        <v>5015</v>
      </c>
      <c r="I1598" s="289" t="s">
        <v>5016</v>
      </c>
    </row>
    <row r="1599" spans="1:9">
      <c r="A1599" s="290">
        <v>1063851</v>
      </c>
      <c r="B1599" s="289" t="s">
        <v>630</v>
      </c>
      <c r="C1599" s="289" t="s">
        <v>1041</v>
      </c>
      <c r="D1599" s="289" t="s">
        <v>5017</v>
      </c>
      <c r="E1599" s="289" t="s">
        <v>5018</v>
      </c>
      <c r="F1599" s="289" t="s">
        <v>5019</v>
      </c>
      <c r="I1599" s="289" t="s">
        <v>5020</v>
      </c>
    </row>
    <row r="1600" spans="1:9">
      <c r="A1600" s="290">
        <v>1063882</v>
      </c>
      <c r="B1600" s="289" t="s">
        <v>630</v>
      </c>
      <c r="C1600" s="289" t="s">
        <v>1041</v>
      </c>
      <c r="D1600" s="289" t="s">
        <v>4325</v>
      </c>
      <c r="E1600" s="289" t="s">
        <v>4326</v>
      </c>
      <c r="F1600" s="289" t="s">
        <v>4327</v>
      </c>
      <c r="I1600" s="289" t="s">
        <v>4328</v>
      </c>
    </row>
    <row r="1601" spans="1:9">
      <c r="A1601" s="290">
        <v>1064001</v>
      </c>
      <c r="B1601" s="289" t="s">
        <v>630</v>
      </c>
      <c r="C1601" s="289" t="s">
        <v>1041</v>
      </c>
      <c r="D1601" s="289" t="s">
        <v>4331</v>
      </c>
      <c r="E1601" s="289" t="s">
        <v>4332</v>
      </c>
      <c r="F1601" s="289" t="s">
        <v>4333</v>
      </c>
      <c r="I1601" s="289" t="s">
        <v>4334</v>
      </c>
    </row>
    <row r="1602" spans="1:9">
      <c r="A1602" s="290">
        <v>1064063</v>
      </c>
      <c r="B1602" s="289" t="s">
        <v>630</v>
      </c>
      <c r="C1602" s="289" t="s">
        <v>1041</v>
      </c>
      <c r="D1602" s="289" t="s">
        <v>4335</v>
      </c>
      <c r="E1602" s="289" t="s">
        <v>4336</v>
      </c>
      <c r="F1602" s="289" t="s">
        <v>4337</v>
      </c>
      <c r="I1602" s="289" t="s">
        <v>4338</v>
      </c>
    </row>
    <row r="1603" spans="1:9">
      <c r="A1603" s="290">
        <v>1064070</v>
      </c>
      <c r="B1603" s="289" t="s">
        <v>630</v>
      </c>
      <c r="C1603" s="289" t="s">
        <v>1041</v>
      </c>
      <c r="D1603" s="289" t="s">
        <v>4339</v>
      </c>
      <c r="E1603" s="289" t="s">
        <v>4340</v>
      </c>
      <c r="F1603" s="289" t="s">
        <v>4341</v>
      </c>
      <c r="I1603" s="289" t="s">
        <v>4342</v>
      </c>
    </row>
    <row r="1604" spans="1:9">
      <c r="A1604" s="290">
        <v>1064759</v>
      </c>
      <c r="B1604" s="289" t="s">
        <v>630</v>
      </c>
      <c r="C1604" s="289" t="s">
        <v>1041</v>
      </c>
      <c r="D1604" s="289" t="s">
        <v>5021</v>
      </c>
      <c r="E1604" s="289" t="s">
        <v>5022</v>
      </c>
      <c r="F1604" s="289" t="s">
        <v>5023</v>
      </c>
      <c r="I1604" s="289" t="s">
        <v>5024</v>
      </c>
    </row>
    <row r="1605" spans="1:9">
      <c r="A1605" s="290">
        <v>1070552</v>
      </c>
      <c r="B1605" s="289" t="s">
        <v>630</v>
      </c>
      <c r="C1605" s="289" t="s">
        <v>1041</v>
      </c>
      <c r="D1605" s="289" t="s">
        <v>4812</v>
      </c>
      <c r="E1605" s="289" t="s">
        <v>4813</v>
      </c>
      <c r="F1605" s="289" t="s">
        <v>4814</v>
      </c>
      <c r="I1605" s="289" t="s">
        <v>4831</v>
      </c>
    </row>
    <row r="1606" spans="1:9">
      <c r="A1606" s="290">
        <v>1071924</v>
      </c>
      <c r="B1606" s="289" t="s">
        <v>630</v>
      </c>
      <c r="C1606" s="289" t="s">
        <v>1041</v>
      </c>
      <c r="D1606" s="289" t="s">
        <v>2377</v>
      </c>
      <c r="E1606" s="289" t="s">
        <v>2378</v>
      </c>
      <c r="F1606" s="289" t="s">
        <v>4818</v>
      </c>
      <c r="I1606" s="289" t="s">
        <v>4832</v>
      </c>
    </row>
    <row r="1607" spans="1:9">
      <c r="A1607" s="290">
        <v>1072280</v>
      </c>
      <c r="B1607" s="289" t="s">
        <v>630</v>
      </c>
      <c r="C1607" s="289" t="s">
        <v>1041</v>
      </c>
      <c r="D1607" s="289" t="s">
        <v>4819</v>
      </c>
      <c r="E1607" s="289" t="s">
        <v>4820</v>
      </c>
      <c r="F1607" s="289" t="s">
        <v>4821</v>
      </c>
      <c r="I1607" s="289" t="s">
        <v>4833</v>
      </c>
    </row>
    <row r="1608" spans="1:9">
      <c r="A1608" s="290">
        <v>1073751</v>
      </c>
      <c r="B1608" s="289" t="s">
        <v>630</v>
      </c>
      <c r="C1608" s="289" t="s">
        <v>1041</v>
      </c>
      <c r="D1608" s="289" t="s">
        <v>5046</v>
      </c>
      <c r="E1608" s="289" t="s">
        <v>5047</v>
      </c>
      <c r="F1608" s="289" t="s">
        <v>5048</v>
      </c>
      <c r="I1608" s="289" t="s">
        <v>5049</v>
      </c>
    </row>
    <row r="1609" spans="1:9">
      <c r="A1609" s="290">
        <v>1080193</v>
      </c>
      <c r="B1609" s="289" t="s">
        <v>630</v>
      </c>
      <c r="C1609" s="289" t="s">
        <v>1041</v>
      </c>
      <c r="D1609" s="289" t="s">
        <v>5152</v>
      </c>
      <c r="E1609" s="289" t="s">
        <v>5153</v>
      </c>
      <c r="F1609" s="289" t="s">
        <v>5154</v>
      </c>
      <c r="I1609" s="289" t="s">
        <v>5155</v>
      </c>
    </row>
    <row r="1610" spans="1:9">
      <c r="A1610" s="290">
        <v>1080377</v>
      </c>
      <c r="B1610" s="289" t="s">
        <v>630</v>
      </c>
      <c r="C1610" s="289" t="s">
        <v>1041</v>
      </c>
      <c r="D1610" s="289" t="s">
        <v>3636</v>
      </c>
      <c r="E1610" s="289" t="s">
        <v>3637</v>
      </c>
      <c r="F1610" s="289" t="s">
        <v>5162</v>
      </c>
      <c r="I1610" s="289" t="s">
        <v>5163</v>
      </c>
    </row>
    <row r="1611" spans="1:9">
      <c r="A1611" s="290">
        <v>1080391</v>
      </c>
      <c r="B1611" s="289" t="s">
        <v>630</v>
      </c>
      <c r="C1611" s="289" t="s">
        <v>1041</v>
      </c>
      <c r="D1611" s="289" t="s">
        <v>5164</v>
      </c>
      <c r="E1611" s="289" t="s">
        <v>5165</v>
      </c>
      <c r="F1611" s="289" t="s">
        <v>5166</v>
      </c>
      <c r="I1611" s="289" t="s">
        <v>5167</v>
      </c>
    </row>
    <row r="1612" spans="1:9">
      <c r="A1612" s="289" t="s">
        <v>4844</v>
      </c>
      <c r="D1612" s="289" t="s">
        <v>4845</v>
      </c>
    </row>
  </sheetData>
  <sheetProtection algorithmName="SHA-512" hashValue="qqFegxYdsl3LS9u7xD+xSVReW2tccPY4U6871uG0SaqWA7mkO/lJTvuoPobwjfGVtUo6/QC5ofoqZt1jVAgiLA==" saltValue="VRASarVcmbf0Jf/P/EIgOQ==" spinCount="100000" sheet="1" objects="1" scenarios="1"/>
  <phoneticPr fontId="3"/>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C023D-7012-461F-86EA-A3AC71379D03}">
  <sheetPr>
    <tabColor theme="1" tint="0.499984740745262"/>
  </sheetPr>
  <dimension ref="A1:BD366"/>
  <sheetViews>
    <sheetView view="pageBreakPreview" topLeftCell="A5" zoomScale="70" zoomScaleNormal="70" zoomScaleSheetLayoutView="70" workbookViewId="0">
      <pane ySplit="636" activePane="bottomLeft"/>
      <selection activeCell="H11" sqref="H11:Z11"/>
      <selection pane="bottomLeft" activeCell="H11" sqref="H11:Z11"/>
    </sheetView>
  </sheetViews>
  <sheetFormatPr defaultColWidth="9" defaultRowHeight="25.5" customHeight="1" outlineLevelRow="2"/>
  <cols>
    <col min="1" max="1" width="9" style="291"/>
    <col min="2" max="2" width="8.44140625" style="292" customWidth="1"/>
    <col min="3" max="3" width="0.33203125" style="293" customWidth="1"/>
    <col min="4" max="4" width="9" style="291"/>
    <col min="5" max="5" width="8.44140625" style="294" customWidth="1"/>
    <col min="6" max="6" width="7.44140625" style="295" customWidth="1"/>
    <col min="7" max="7" width="3.33203125" style="296" customWidth="1"/>
    <col min="8" max="8" width="43.88671875" style="297" customWidth="1"/>
    <col min="9" max="9" width="3.88671875" style="298" customWidth="1"/>
    <col min="10" max="10" width="3.77734375" style="299" customWidth="1"/>
    <col min="11" max="11" width="5.44140625" style="300" customWidth="1"/>
    <col min="12" max="12" width="4.88671875" style="301" customWidth="1"/>
    <col min="13" max="13" width="2.109375" style="296" customWidth="1"/>
    <col min="14" max="14" width="4.6640625" style="302" customWidth="1"/>
    <col min="15" max="15" width="9.109375" style="302" hidden="1" customWidth="1"/>
    <col min="16" max="16" width="12.33203125" style="303" hidden="1" customWidth="1"/>
    <col min="17" max="17" width="11.6640625" style="1" customWidth="1"/>
    <col min="18" max="18" width="10" style="1" customWidth="1"/>
    <col min="19" max="19" width="10" style="2" customWidth="1"/>
    <col min="20" max="20" width="8.44140625" style="6" customWidth="1"/>
    <col min="21" max="21" width="8.44140625" style="10" customWidth="1"/>
    <col min="22" max="22" width="4.33203125" style="3" customWidth="1"/>
    <col min="23" max="23" width="4.33203125" style="4" customWidth="1"/>
    <col min="24" max="26" width="4.33203125" style="3" customWidth="1"/>
    <col min="27" max="27" width="8.77734375" style="7" customWidth="1"/>
    <col min="28" max="28" width="8.77734375" style="8" customWidth="1"/>
    <col min="29" max="29" width="7" style="8" hidden="1" customWidth="1"/>
    <col min="30" max="30" width="10.77734375" style="302" hidden="1" customWidth="1"/>
    <col min="31" max="31" width="7.33203125" style="9" customWidth="1"/>
    <col min="32" max="32" width="7.21875" style="5" customWidth="1"/>
    <col min="33" max="34" width="7.21875" style="3" customWidth="1"/>
    <col min="35" max="35" width="8" style="3" customWidth="1"/>
    <col min="36" max="36" width="7.77734375" style="3" customWidth="1"/>
    <col min="37" max="37" width="6.88671875" style="3" customWidth="1"/>
    <col min="38" max="38" width="33" style="304" customWidth="1"/>
    <col min="39" max="39" width="15.33203125" style="305" hidden="1" customWidth="1"/>
    <col min="40" max="40" width="9.33203125" style="306" customWidth="1"/>
    <col min="41" max="42" width="9" style="291"/>
    <col min="43" max="43" width="9" style="305"/>
    <col min="44" max="44" width="11.77734375" style="10" customWidth="1"/>
    <col min="45" max="45" width="4.21875" style="1" customWidth="1"/>
    <col min="46" max="46" width="3.6640625" style="1" customWidth="1"/>
    <col min="47" max="47" width="10.33203125" style="2" customWidth="1"/>
    <col min="48" max="48" width="11.109375" style="3" customWidth="1"/>
    <col min="49" max="16384" width="9" style="305"/>
  </cols>
  <sheetData>
    <row r="1" spans="1:48" ht="28.5" customHeight="1"/>
    <row r="2" spans="1:48" ht="21" customHeight="1">
      <c r="B2" s="307"/>
      <c r="C2" s="307"/>
      <c r="F2" s="307"/>
      <c r="H2" s="308" t="s">
        <v>5410</v>
      </c>
      <c r="K2" s="309"/>
      <c r="L2" s="310"/>
      <c r="R2" s="1100">
        <f ca="1">+NOW()</f>
        <v>44295.506277430555</v>
      </c>
      <c r="S2" s="1100"/>
      <c r="V2" s="11" t="s">
        <v>5192</v>
      </c>
      <c r="W2" s="11"/>
      <c r="X2" s="11"/>
      <c r="Y2" s="11"/>
      <c r="Z2" s="11"/>
      <c r="AA2" s="11"/>
      <c r="AB2" s="11"/>
      <c r="AC2" s="11"/>
      <c r="AE2" s="12"/>
      <c r="AF2" s="311"/>
      <c r="AH2" s="14"/>
      <c r="AL2" s="312" t="s">
        <v>4475</v>
      </c>
      <c r="AR2" s="15" t="s">
        <v>4474</v>
      </c>
      <c r="AU2" s="16"/>
      <c r="AV2" s="17"/>
    </row>
    <row r="3" spans="1:48" ht="5.25" customHeight="1">
      <c r="B3" s="307"/>
      <c r="C3" s="307"/>
      <c r="F3" s="307"/>
      <c r="H3" s="304"/>
      <c r="K3" s="313"/>
      <c r="R3" s="18"/>
      <c r="AA3" s="11"/>
      <c r="AB3" s="19"/>
      <c r="AC3" s="19"/>
      <c r="AE3" s="12"/>
      <c r="AF3" s="13"/>
      <c r="AL3" s="314"/>
      <c r="AR3" s="15"/>
      <c r="AU3" s="16"/>
      <c r="AV3" s="17"/>
    </row>
    <row r="4" spans="1:48" s="326" customFormat="1" ht="35.25" customHeight="1" thickBot="1">
      <c r="A4" s="315"/>
      <c r="B4" s="316"/>
      <c r="C4" s="316"/>
      <c r="D4" s="315"/>
      <c r="E4" s="316"/>
      <c r="F4" s="316"/>
      <c r="G4" s="316"/>
      <c r="H4" s="317"/>
      <c r="I4" s="316"/>
      <c r="J4" s="316"/>
      <c r="K4" s="318"/>
      <c r="L4" s="316"/>
      <c r="M4" s="316"/>
      <c r="N4" s="316"/>
      <c r="O4" s="316"/>
      <c r="P4" s="319"/>
      <c r="Q4" s="320"/>
      <c r="R4" s="320"/>
      <c r="S4" s="320"/>
      <c r="T4" s="321"/>
      <c r="U4" s="321"/>
      <c r="V4" s="316"/>
      <c r="W4" s="316"/>
      <c r="X4" s="316"/>
      <c r="Y4" s="316"/>
      <c r="Z4" s="316"/>
      <c r="AA4" s="322"/>
      <c r="AB4" s="323"/>
      <c r="AC4" s="323"/>
      <c r="AD4" s="316"/>
      <c r="AE4" s="324"/>
      <c r="AF4" s="316"/>
      <c r="AG4" s="316"/>
      <c r="AH4" s="316"/>
      <c r="AI4" s="316"/>
      <c r="AJ4" s="316"/>
      <c r="AK4" s="316"/>
      <c r="AL4" s="325"/>
      <c r="AO4" s="315"/>
      <c r="AP4" s="315"/>
      <c r="AR4" s="316"/>
      <c r="AS4" s="320"/>
      <c r="AT4" s="316"/>
      <c r="AU4" s="316"/>
      <c r="AV4" s="316"/>
    </row>
    <row r="5" spans="1:48" s="291" customFormat="1" ht="30" customHeight="1" thickTop="1" thickBot="1">
      <c r="B5" s="327" t="s">
        <v>5193</v>
      </c>
      <c r="C5" s="328"/>
      <c r="E5" s="329" t="s">
        <v>5194</v>
      </c>
      <c r="F5" s="330" t="s">
        <v>4476</v>
      </c>
      <c r="G5" s="331" t="s">
        <v>5411</v>
      </c>
      <c r="H5" s="330" t="s">
        <v>5412</v>
      </c>
      <c r="I5" s="1101" t="s">
        <v>4495</v>
      </c>
      <c r="J5" s="1102"/>
      <c r="K5" s="332" t="s">
        <v>4477</v>
      </c>
      <c r="L5" s="1103" t="s">
        <v>5195</v>
      </c>
      <c r="M5" s="1104"/>
      <c r="N5" s="1105"/>
      <c r="O5" s="261" t="s">
        <v>5197</v>
      </c>
      <c r="P5" s="333" t="s">
        <v>4492</v>
      </c>
      <c r="Q5" s="260" t="s">
        <v>5196</v>
      </c>
      <c r="R5" s="20" t="s">
        <v>4478</v>
      </c>
      <c r="S5" s="21" t="s">
        <v>5413</v>
      </c>
      <c r="T5" s="334" t="s">
        <v>4481</v>
      </c>
      <c r="U5" s="34" t="s">
        <v>4493</v>
      </c>
      <c r="V5" s="22" t="s">
        <v>4479</v>
      </c>
      <c r="W5" s="23" t="s">
        <v>4480</v>
      </c>
      <c r="X5" s="24" t="s">
        <v>4482</v>
      </c>
      <c r="Y5" s="25" t="s">
        <v>4483</v>
      </c>
      <c r="Z5" s="26" t="s">
        <v>4484</v>
      </c>
      <c r="AA5" s="27" t="s">
        <v>4485</v>
      </c>
      <c r="AB5" s="28" t="s">
        <v>4486</v>
      </c>
      <c r="AC5" s="262" t="s">
        <v>5198</v>
      </c>
      <c r="AD5" s="335" t="s">
        <v>5414</v>
      </c>
      <c r="AE5" s="29" t="s">
        <v>4487</v>
      </c>
      <c r="AF5" s="30" t="s">
        <v>5199</v>
      </c>
      <c r="AG5" s="30" t="s">
        <v>4488</v>
      </c>
      <c r="AH5" s="30" t="s">
        <v>4489</v>
      </c>
      <c r="AI5" s="31" t="s">
        <v>4490</v>
      </c>
      <c r="AJ5" s="32" t="s">
        <v>4491</v>
      </c>
      <c r="AK5" s="33" t="s">
        <v>5415</v>
      </c>
      <c r="AL5" s="327" t="s">
        <v>4494</v>
      </c>
      <c r="AN5" s="306"/>
      <c r="AR5" s="35" t="s">
        <v>4496</v>
      </c>
      <c r="AS5" s="36" t="s">
        <v>4497</v>
      </c>
      <c r="AT5" s="37" t="s">
        <v>4498</v>
      </c>
      <c r="AU5" s="38"/>
      <c r="AV5" s="39" t="s">
        <v>4499</v>
      </c>
    </row>
    <row r="6" spans="1:48" ht="25.5" customHeight="1" outlineLevel="2">
      <c r="A6" s="336">
        <v>1111</v>
      </c>
      <c r="B6" s="337" t="s">
        <v>4500</v>
      </c>
      <c r="C6" s="338" t="s">
        <v>4449</v>
      </c>
      <c r="D6" s="336">
        <v>1111</v>
      </c>
      <c r="E6" s="339" t="s">
        <v>4502</v>
      </c>
      <c r="F6" s="340" t="s">
        <v>4503</v>
      </c>
      <c r="G6" s="341"/>
      <c r="H6" s="342" t="s">
        <v>5416</v>
      </c>
      <c r="I6" s="343">
        <v>11</v>
      </c>
      <c r="J6" s="344" t="s">
        <v>4504</v>
      </c>
      <c r="K6" s="345"/>
      <c r="L6" s="346"/>
      <c r="M6" s="347"/>
      <c r="N6" s="348"/>
      <c r="O6" s="349">
        <v>0</v>
      </c>
      <c r="P6" s="350">
        <v>470000</v>
      </c>
      <c r="Q6" s="351">
        <f>R6+S6</f>
        <v>470000</v>
      </c>
      <c r="R6" s="352">
        <v>470000</v>
      </c>
      <c r="S6" s="353"/>
      <c r="T6" s="354">
        <v>470000</v>
      </c>
      <c r="U6" s="355">
        <v>0</v>
      </c>
      <c r="V6" s="356"/>
      <c r="W6" s="357"/>
      <c r="X6" s="358">
        <v>44296</v>
      </c>
      <c r="Y6" s="359"/>
      <c r="Z6" s="359"/>
      <c r="AA6" s="360">
        <f>Q6</f>
        <v>470000</v>
      </c>
      <c r="AB6" s="361">
        <f>SUM(AE6:AI6)</f>
        <v>400000</v>
      </c>
      <c r="AC6" s="361"/>
      <c r="AD6" s="362">
        <f t="shared" ref="AD6:AD16" si="0">SUM(AE6:AJ6)-AJ6</f>
        <v>400000</v>
      </c>
      <c r="AE6" s="363">
        <v>400000</v>
      </c>
      <c r="AF6" s="364"/>
      <c r="AG6" s="364"/>
      <c r="AH6" s="364"/>
      <c r="AI6" s="365"/>
      <c r="AJ6" s="366"/>
      <c r="AK6" s="367">
        <v>160000</v>
      </c>
      <c r="AL6" s="368"/>
      <c r="AM6" s="308" t="str">
        <f>I6&amp;J6</f>
        <v>1111</v>
      </c>
      <c r="AN6" s="369" t="str">
        <f t="shared" ref="AN6:AN31" si="1">I6&amp;J6</f>
        <v>1111</v>
      </c>
      <c r="AO6" s="336">
        <v>1111</v>
      </c>
      <c r="AP6" s="336"/>
      <c r="AR6" s="370">
        <f>U6+AB6</f>
        <v>400000</v>
      </c>
      <c r="AS6" s="54"/>
      <c r="AT6" s="55"/>
      <c r="AU6" s="41"/>
      <c r="AV6" s="57" t="e">
        <f>#REF!-#REF!</f>
        <v>#REF!</v>
      </c>
    </row>
    <row r="7" spans="1:48" s="399" customFormat="1" ht="25.5" customHeight="1" outlineLevel="2">
      <c r="A7" s="336">
        <v>1112</v>
      </c>
      <c r="B7" s="371" t="s">
        <v>4500</v>
      </c>
      <c r="C7" s="372" t="s">
        <v>4501</v>
      </c>
      <c r="D7" s="336">
        <v>1112</v>
      </c>
      <c r="E7" s="373" t="s">
        <v>4502</v>
      </c>
      <c r="F7" s="295" t="s">
        <v>4503</v>
      </c>
      <c r="G7" s="374"/>
      <c r="H7" s="297" t="s">
        <v>5417</v>
      </c>
      <c r="I7" s="375">
        <v>11</v>
      </c>
      <c r="J7" s="344" t="s">
        <v>4515</v>
      </c>
      <c r="K7" s="376"/>
      <c r="L7" s="377">
        <v>44317</v>
      </c>
      <c r="M7" s="296" t="str">
        <f>IF(AND(L7&lt;&gt;"",N7&lt;&gt;""),"～","")</f>
        <v>～</v>
      </c>
      <c r="N7" s="302">
        <v>44256</v>
      </c>
      <c r="O7" s="378">
        <v>2640000</v>
      </c>
      <c r="P7" s="379">
        <v>2400000</v>
      </c>
      <c r="Q7" s="380">
        <f>R7+S7</f>
        <v>2400000</v>
      </c>
      <c r="R7" s="381">
        <f>2100000+300000</f>
        <v>2400000</v>
      </c>
      <c r="S7" s="382"/>
      <c r="T7" s="383">
        <v>2400000</v>
      </c>
      <c r="U7" s="384">
        <v>3367000</v>
      </c>
      <c r="V7" s="385"/>
      <c r="W7" s="386"/>
      <c r="X7" s="387">
        <v>43200</v>
      </c>
      <c r="Y7" s="388"/>
      <c r="Z7" s="388"/>
      <c r="AA7" s="389">
        <f t="shared" ref="AA7:AA16" si="2">Q7</f>
        <v>2400000</v>
      </c>
      <c r="AB7" s="390">
        <f>SUM(AE7:AH7)+AJ7</f>
        <v>5604000</v>
      </c>
      <c r="AC7" s="390"/>
      <c r="AD7" s="362">
        <f t="shared" si="0"/>
        <v>5604000</v>
      </c>
      <c r="AE7" s="391">
        <f>120000*24*2-156000</f>
        <v>5604000</v>
      </c>
      <c r="AF7" s="392"/>
      <c r="AG7" s="392"/>
      <c r="AH7" s="392"/>
      <c r="AI7" s="393"/>
      <c r="AJ7" s="394">
        <f>+S7</f>
        <v>0</v>
      </c>
      <c r="AK7" s="395">
        <v>360000</v>
      </c>
      <c r="AL7" s="396"/>
      <c r="AM7" s="397" t="str">
        <f>I7&amp;J7</f>
        <v>1112</v>
      </c>
      <c r="AN7" s="398" t="str">
        <f t="shared" si="1"/>
        <v>1112</v>
      </c>
      <c r="AO7" s="336">
        <v>1112</v>
      </c>
      <c r="AP7" s="336"/>
      <c r="AR7" s="400">
        <f t="shared" ref="AR7:AR15" si="3">U7</f>
        <v>3367000</v>
      </c>
      <c r="AS7" s="401"/>
      <c r="AT7" s="402"/>
      <c r="AU7" s="403"/>
      <c r="AV7" s="404" t="e">
        <f>#REF!-#REF!</f>
        <v>#REF!</v>
      </c>
    </row>
    <row r="8" spans="1:48" s="399" customFormat="1" ht="25.5" customHeight="1" outlineLevel="2">
      <c r="A8" s="336">
        <v>1113</v>
      </c>
      <c r="B8" s="405" t="s">
        <v>4500</v>
      </c>
      <c r="C8" s="406" t="s">
        <v>4501</v>
      </c>
      <c r="D8" s="336">
        <v>1113</v>
      </c>
      <c r="E8" s="407" t="s">
        <v>4502</v>
      </c>
      <c r="F8" s="408" t="s">
        <v>4503</v>
      </c>
      <c r="G8" s="409"/>
      <c r="H8" s="410" t="s">
        <v>5418</v>
      </c>
      <c r="I8" s="411">
        <v>11</v>
      </c>
      <c r="J8" s="344" t="s">
        <v>4451</v>
      </c>
      <c r="K8" s="412">
        <v>43</v>
      </c>
      <c r="L8" s="413">
        <v>44317</v>
      </c>
      <c r="M8" s="414" t="str">
        <f>IF(AND(L8&lt;&gt;"",N8&lt;&gt;""),"～","")</f>
        <v>～</v>
      </c>
      <c r="N8" s="415">
        <v>44255</v>
      </c>
      <c r="O8" s="280">
        <v>3600000</v>
      </c>
      <c r="P8" s="416">
        <v>3600000</v>
      </c>
      <c r="Q8" s="263">
        <f t="shared" ref="Q8:Q31" si="4">R8+S8</f>
        <v>3600000</v>
      </c>
      <c r="R8" s="284">
        <f>3000000-400000</f>
        <v>2600000</v>
      </c>
      <c r="S8" s="59">
        <f>600000+400000</f>
        <v>1000000</v>
      </c>
      <c r="T8" s="417">
        <v>3600000</v>
      </c>
      <c r="U8" s="418">
        <v>3600000</v>
      </c>
      <c r="V8" s="419"/>
      <c r="W8" s="420"/>
      <c r="X8" s="58" t="s">
        <v>4506</v>
      </c>
      <c r="Y8" s="421"/>
      <c r="Z8" s="421"/>
      <c r="AA8" s="422">
        <f t="shared" si="2"/>
        <v>3600000</v>
      </c>
      <c r="AB8" s="390">
        <f t="shared" ref="AB8:AB9" si="5">SUM(AE8:AH8)+AJ8</f>
        <v>4700000</v>
      </c>
      <c r="AC8" s="423"/>
      <c r="AD8" s="424">
        <f t="shared" si="0"/>
        <v>3700000</v>
      </c>
      <c r="AE8" s="266">
        <f>40000*24*6-2060000</f>
        <v>3700000</v>
      </c>
      <c r="AF8" s="425"/>
      <c r="AG8" s="425"/>
      <c r="AH8" s="425"/>
      <c r="AI8" s="426"/>
      <c r="AJ8" s="394">
        <f t="shared" ref="AJ8:AJ9" si="6">+S8</f>
        <v>1000000</v>
      </c>
      <c r="AK8" s="427">
        <v>1320000</v>
      </c>
      <c r="AL8" s="396" t="s">
        <v>5419</v>
      </c>
      <c r="AM8" s="397" t="str">
        <f>I8&amp;J8</f>
        <v>1113</v>
      </c>
      <c r="AN8" s="398" t="str">
        <f t="shared" si="1"/>
        <v>1113</v>
      </c>
      <c r="AO8" s="336">
        <v>1113</v>
      </c>
      <c r="AP8" s="336"/>
      <c r="AR8" s="400">
        <f t="shared" si="3"/>
        <v>3600000</v>
      </c>
      <c r="AS8" s="401"/>
      <c r="AT8" s="402"/>
      <c r="AU8" s="403"/>
      <c r="AV8" s="404" t="e">
        <f>#REF!-#REF!</f>
        <v>#REF!</v>
      </c>
    </row>
    <row r="9" spans="1:48" s="399" customFormat="1" ht="25.5" customHeight="1" outlineLevel="2">
      <c r="A9" s="336">
        <v>1114</v>
      </c>
      <c r="B9" s="337" t="s">
        <v>4500</v>
      </c>
      <c r="C9" s="406" t="s">
        <v>4449</v>
      </c>
      <c r="D9" s="336">
        <v>1114</v>
      </c>
      <c r="E9" s="407" t="s">
        <v>4502</v>
      </c>
      <c r="F9" s="428" t="s">
        <v>4503</v>
      </c>
      <c r="G9" s="409"/>
      <c r="H9" s="429" t="s">
        <v>5420</v>
      </c>
      <c r="I9" s="411">
        <v>11</v>
      </c>
      <c r="J9" s="344" t="s">
        <v>4452</v>
      </c>
      <c r="K9" s="430"/>
      <c r="L9" s="413">
        <v>44317</v>
      </c>
      <c r="M9" s="414" t="s">
        <v>13</v>
      </c>
      <c r="N9" s="415">
        <v>44286</v>
      </c>
      <c r="O9" s="280">
        <v>1800000</v>
      </c>
      <c r="P9" s="416">
        <v>1300000</v>
      </c>
      <c r="Q9" s="263">
        <f t="shared" si="4"/>
        <v>1300000</v>
      </c>
      <c r="R9" s="284">
        <f>1200000+100000</f>
        <v>1300000</v>
      </c>
      <c r="S9" s="285"/>
      <c r="T9" s="417">
        <v>1300000</v>
      </c>
      <c r="U9" s="418">
        <v>1620000</v>
      </c>
      <c r="V9" s="419"/>
      <c r="W9" s="420"/>
      <c r="X9" s="431">
        <v>43200</v>
      </c>
      <c r="Y9" s="421"/>
      <c r="Z9" s="421"/>
      <c r="AA9" s="422">
        <f t="shared" si="2"/>
        <v>1300000</v>
      </c>
      <c r="AB9" s="390">
        <f t="shared" si="5"/>
        <v>1660000</v>
      </c>
      <c r="AC9" s="361"/>
      <c r="AD9" s="424">
        <f t="shared" si="0"/>
        <v>1660000</v>
      </c>
      <c r="AE9" s="266">
        <f>15000*32*12-4100000</f>
        <v>1660000</v>
      </c>
      <c r="AF9" s="425"/>
      <c r="AG9" s="425"/>
      <c r="AH9" s="425"/>
      <c r="AI9" s="426"/>
      <c r="AJ9" s="394">
        <f t="shared" si="6"/>
        <v>0</v>
      </c>
      <c r="AK9" s="427">
        <v>400000</v>
      </c>
      <c r="AL9" s="396"/>
      <c r="AM9" s="397" t="str">
        <f>I9&amp;J9</f>
        <v>1114</v>
      </c>
      <c r="AN9" s="398" t="str">
        <f t="shared" si="1"/>
        <v>1114</v>
      </c>
      <c r="AO9" s="336">
        <v>1114</v>
      </c>
      <c r="AP9" s="336"/>
      <c r="AR9" s="432">
        <f t="shared" si="3"/>
        <v>1620000</v>
      </c>
      <c r="AS9" s="433"/>
      <c r="AT9" s="434"/>
      <c r="AU9" s="435"/>
      <c r="AV9" s="436" t="e">
        <f>#REF!-#REF!</f>
        <v>#REF!</v>
      </c>
    </row>
    <row r="10" spans="1:48" s="399" customFormat="1" ht="25.5" customHeight="1" outlineLevel="2">
      <c r="A10" s="336">
        <v>1115</v>
      </c>
      <c r="B10" s="337" t="s">
        <v>4500</v>
      </c>
      <c r="C10" s="406" t="s">
        <v>4449</v>
      </c>
      <c r="D10" s="336">
        <v>1115</v>
      </c>
      <c r="E10" s="407" t="s">
        <v>4502</v>
      </c>
      <c r="F10" s="428" t="s">
        <v>4503</v>
      </c>
      <c r="G10" s="409"/>
      <c r="H10" s="429" t="s">
        <v>5421</v>
      </c>
      <c r="I10" s="411">
        <v>11</v>
      </c>
      <c r="J10" s="344" t="s">
        <v>4453</v>
      </c>
      <c r="K10" s="437"/>
      <c r="L10" s="413">
        <v>44317</v>
      </c>
      <c r="M10" s="414" t="s">
        <v>13</v>
      </c>
      <c r="N10" s="438">
        <v>44286</v>
      </c>
      <c r="O10" s="349">
        <v>1296000</v>
      </c>
      <c r="P10" s="350">
        <v>850000</v>
      </c>
      <c r="Q10" s="263">
        <f t="shared" si="4"/>
        <v>850000</v>
      </c>
      <c r="R10" s="284">
        <v>850000</v>
      </c>
      <c r="S10" s="285"/>
      <c r="T10" s="417">
        <v>850000</v>
      </c>
      <c r="U10" s="418">
        <v>1296000</v>
      </c>
      <c r="V10" s="419"/>
      <c r="W10" s="420"/>
      <c r="X10" s="431">
        <v>43200</v>
      </c>
      <c r="Y10" s="421"/>
      <c r="Z10" s="421"/>
      <c r="AA10" s="422">
        <f t="shared" si="2"/>
        <v>850000</v>
      </c>
      <c r="AB10" s="361">
        <f>SUM(AE10:AI10)-AI10</f>
        <v>896000</v>
      </c>
      <c r="AC10" s="361"/>
      <c r="AD10" s="424">
        <f t="shared" si="0"/>
        <v>896000</v>
      </c>
      <c r="AE10" s="266">
        <f>3000*32*8+1000*32*4</f>
        <v>896000</v>
      </c>
      <c r="AF10" s="425"/>
      <c r="AG10" s="425"/>
      <c r="AH10" s="425"/>
      <c r="AI10" s="426"/>
      <c r="AJ10" s="439"/>
      <c r="AK10" s="427">
        <v>360000</v>
      </c>
      <c r="AL10" s="396"/>
      <c r="AM10" s="397" t="str">
        <f>I10&amp;J10</f>
        <v>1115</v>
      </c>
      <c r="AN10" s="398" t="str">
        <f t="shared" si="1"/>
        <v>1115</v>
      </c>
      <c r="AO10" s="336">
        <v>1115</v>
      </c>
      <c r="AP10" s="336"/>
      <c r="AR10" s="432">
        <f t="shared" si="3"/>
        <v>1296000</v>
      </c>
      <c r="AS10" s="433"/>
      <c r="AT10" s="434"/>
      <c r="AU10" s="435"/>
      <c r="AV10" s="436" t="e">
        <f>#REF!-#REF!</f>
        <v>#REF!</v>
      </c>
    </row>
    <row r="11" spans="1:48" s="399" customFormat="1" ht="25.5" customHeight="1" outlineLevel="2">
      <c r="A11" s="336">
        <v>1116</v>
      </c>
      <c r="B11" s="337" t="s">
        <v>4500</v>
      </c>
      <c r="C11" s="406" t="s">
        <v>4449</v>
      </c>
      <c r="D11" s="336">
        <v>1116</v>
      </c>
      <c r="E11" s="407" t="s">
        <v>4502</v>
      </c>
      <c r="F11" s="428" t="s">
        <v>4503</v>
      </c>
      <c r="G11" s="409"/>
      <c r="H11" s="429" t="s">
        <v>5422</v>
      </c>
      <c r="I11" s="411">
        <v>11</v>
      </c>
      <c r="J11" s="344" t="s">
        <v>4535</v>
      </c>
      <c r="K11" s="437"/>
      <c r="L11" s="413">
        <v>44274</v>
      </c>
      <c r="M11" s="414" t="s">
        <v>13</v>
      </c>
      <c r="N11" s="438"/>
      <c r="O11" s="349"/>
      <c r="P11" s="350">
        <v>760000</v>
      </c>
      <c r="Q11" s="263">
        <f t="shared" si="4"/>
        <v>600000</v>
      </c>
      <c r="R11" s="284">
        <f>AB11</f>
        <v>600000</v>
      </c>
      <c r="S11" s="285"/>
      <c r="T11" s="417">
        <v>760000</v>
      </c>
      <c r="U11" s="418">
        <v>0</v>
      </c>
      <c r="V11" s="419"/>
      <c r="W11" s="420"/>
      <c r="X11" s="431">
        <v>43200</v>
      </c>
      <c r="Y11" s="421"/>
      <c r="Z11" s="421"/>
      <c r="AA11" s="422">
        <f>Q11</f>
        <v>600000</v>
      </c>
      <c r="AB11" s="361">
        <f>SUM(AE11:AI11)</f>
        <v>600000</v>
      </c>
      <c r="AC11" s="361"/>
      <c r="AD11" s="424">
        <f>SUM(AE11:AJ11)-AJ11</f>
        <v>600000</v>
      </c>
      <c r="AE11" s="266">
        <v>600000</v>
      </c>
      <c r="AF11" s="425"/>
      <c r="AG11" s="425"/>
      <c r="AH11" s="425"/>
      <c r="AI11" s="426"/>
      <c r="AJ11" s="439"/>
      <c r="AK11" s="427">
        <v>50000</v>
      </c>
      <c r="AL11" s="440"/>
      <c r="AM11" s="397">
        <v>134000</v>
      </c>
      <c r="AN11" s="398" t="str">
        <f t="shared" si="1"/>
        <v>1116</v>
      </c>
      <c r="AO11" s="336">
        <v>1116</v>
      </c>
      <c r="AP11" s="336"/>
      <c r="AR11" s="432">
        <f>U11</f>
        <v>0</v>
      </c>
      <c r="AS11" s="433"/>
      <c r="AT11" s="434"/>
      <c r="AU11" s="435"/>
      <c r="AV11" s="436" t="e">
        <f>#REF!-#REF!</f>
        <v>#REF!</v>
      </c>
    </row>
    <row r="12" spans="1:48" s="399" customFormat="1" ht="25.5" customHeight="1" outlineLevel="2">
      <c r="A12" s="336">
        <v>1117</v>
      </c>
      <c r="B12" s="337" t="s">
        <v>4500</v>
      </c>
      <c r="C12" s="406" t="s">
        <v>4449</v>
      </c>
      <c r="D12" s="336">
        <v>1117</v>
      </c>
      <c r="E12" s="407" t="s">
        <v>4502</v>
      </c>
      <c r="F12" s="428" t="s">
        <v>4503</v>
      </c>
      <c r="G12" s="409"/>
      <c r="H12" s="429" t="s">
        <v>5423</v>
      </c>
      <c r="I12" s="411">
        <v>11</v>
      </c>
      <c r="J12" s="344" t="s">
        <v>4539</v>
      </c>
      <c r="K12" s="437"/>
      <c r="L12" s="413">
        <v>44239</v>
      </c>
      <c r="M12" s="414" t="s">
        <v>13</v>
      </c>
      <c r="N12" s="438">
        <v>44240</v>
      </c>
      <c r="O12" s="349"/>
      <c r="P12" s="350">
        <v>740000</v>
      </c>
      <c r="Q12" s="263">
        <f t="shared" si="4"/>
        <v>1340000</v>
      </c>
      <c r="R12" s="284">
        <v>740000</v>
      </c>
      <c r="S12" s="441">
        <v>600000</v>
      </c>
      <c r="T12" s="417">
        <v>740000</v>
      </c>
      <c r="U12" s="418">
        <v>1350000</v>
      </c>
      <c r="V12" s="419"/>
      <c r="W12" s="420"/>
      <c r="X12" s="431">
        <v>43200</v>
      </c>
      <c r="Y12" s="421"/>
      <c r="Z12" s="421"/>
      <c r="AA12" s="422">
        <f>Q12-AJ12</f>
        <v>740000</v>
      </c>
      <c r="AB12" s="361">
        <f>SUM(AE12:AI12)+AJ12</f>
        <v>600000</v>
      </c>
      <c r="AC12" s="361"/>
      <c r="AD12" s="424">
        <f>SUM(AE12:AJ12)-AJ12</f>
        <v>0</v>
      </c>
      <c r="AE12" s="266"/>
      <c r="AF12" s="425"/>
      <c r="AG12" s="425"/>
      <c r="AH12" s="425"/>
      <c r="AI12" s="426"/>
      <c r="AJ12" s="394">
        <f t="shared" ref="AJ12" si="7">+S12</f>
        <v>600000</v>
      </c>
      <c r="AK12" s="427"/>
      <c r="AL12" s="442" t="s">
        <v>5424</v>
      </c>
      <c r="AM12" s="397">
        <v>134000</v>
      </c>
      <c r="AN12" s="398" t="str">
        <f t="shared" si="1"/>
        <v>1117</v>
      </c>
      <c r="AO12" s="336">
        <v>1117</v>
      </c>
      <c r="AP12" s="336"/>
      <c r="AR12" s="432">
        <f>U12</f>
        <v>1350000</v>
      </c>
      <c r="AS12" s="433"/>
      <c r="AT12" s="434"/>
      <c r="AU12" s="435"/>
      <c r="AV12" s="436" t="e">
        <f>#REF!-#REF!</f>
        <v>#REF!</v>
      </c>
    </row>
    <row r="13" spans="1:48" s="399" customFormat="1" ht="25.5" customHeight="1" outlineLevel="2">
      <c r="A13" s="336">
        <v>1118</v>
      </c>
      <c r="B13" s="337" t="s">
        <v>4500</v>
      </c>
      <c r="C13" s="406" t="s">
        <v>4449</v>
      </c>
      <c r="D13" s="336">
        <v>1118</v>
      </c>
      <c r="E13" s="407" t="s">
        <v>4502</v>
      </c>
      <c r="F13" s="428" t="s">
        <v>4503</v>
      </c>
      <c r="G13" s="409"/>
      <c r="H13" s="429" t="s">
        <v>5425</v>
      </c>
      <c r="I13" s="411">
        <v>11</v>
      </c>
      <c r="J13" s="344" t="s">
        <v>5426</v>
      </c>
      <c r="K13" s="437"/>
      <c r="L13" s="413">
        <v>44378</v>
      </c>
      <c r="M13" s="414" t="s">
        <v>13</v>
      </c>
      <c r="N13" s="438">
        <v>44530</v>
      </c>
      <c r="O13" s="349"/>
      <c r="P13" s="350">
        <v>50000</v>
      </c>
      <c r="Q13" s="263">
        <f t="shared" si="4"/>
        <v>150000</v>
      </c>
      <c r="R13" s="284">
        <f>AB13</f>
        <v>150000</v>
      </c>
      <c r="S13" s="285"/>
      <c r="T13" s="417">
        <v>50000</v>
      </c>
      <c r="U13" s="418">
        <v>0</v>
      </c>
      <c r="V13" s="419"/>
      <c r="W13" s="420"/>
      <c r="X13" s="431">
        <v>43200</v>
      </c>
      <c r="Y13" s="421"/>
      <c r="Z13" s="421"/>
      <c r="AA13" s="422">
        <f>Q13</f>
        <v>150000</v>
      </c>
      <c r="AB13" s="361">
        <f>SUM(AE13:AI13)</f>
        <v>150000</v>
      </c>
      <c r="AC13" s="361"/>
      <c r="AD13" s="424">
        <f>SUM(AE13:AJ13)-AJ13</f>
        <v>150000</v>
      </c>
      <c r="AE13" s="266">
        <v>150000</v>
      </c>
      <c r="AF13" s="425"/>
      <c r="AG13" s="425"/>
      <c r="AH13" s="425"/>
      <c r="AI13" s="426"/>
      <c r="AJ13" s="439"/>
      <c r="AK13" s="427">
        <v>25000</v>
      </c>
      <c r="AL13" s="440"/>
      <c r="AM13" s="397">
        <v>134000</v>
      </c>
      <c r="AN13" s="398" t="str">
        <f t="shared" si="1"/>
        <v>1118</v>
      </c>
      <c r="AO13" s="336">
        <v>1118</v>
      </c>
      <c r="AP13" s="336"/>
      <c r="AR13" s="432">
        <f>U13</f>
        <v>0</v>
      </c>
      <c r="AS13" s="433"/>
      <c r="AT13" s="434"/>
      <c r="AU13" s="435"/>
      <c r="AV13" s="436" t="e">
        <f>#REF!-#REF!</f>
        <v>#REF!</v>
      </c>
    </row>
    <row r="14" spans="1:48" s="399" customFormat="1" ht="24.75" customHeight="1" outlineLevel="2">
      <c r="A14" s="336">
        <v>1119</v>
      </c>
      <c r="B14" s="337" t="s">
        <v>4500</v>
      </c>
      <c r="C14" s="406" t="s">
        <v>4449</v>
      </c>
      <c r="D14" s="336">
        <v>1119</v>
      </c>
      <c r="E14" s="407" t="s">
        <v>4502</v>
      </c>
      <c r="F14" s="428" t="s">
        <v>4503</v>
      </c>
      <c r="G14" s="409"/>
      <c r="H14" s="429" t="s">
        <v>5427</v>
      </c>
      <c r="I14" s="411">
        <v>11</v>
      </c>
      <c r="J14" s="344" t="s">
        <v>4583</v>
      </c>
      <c r="K14" s="437"/>
      <c r="L14" s="413">
        <v>44317</v>
      </c>
      <c r="M14" s="414" t="s">
        <v>13</v>
      </c>
      <c r="N14" s="438">
        <v>44286</v>
      </c>
      <c r="O14" s="349">
        <v>1200000</v>
      </c>
      <c r="P14" s="350"/>
      <c r="Q14" s="263">
        <f t="shared" si="4"/>
        <v>696000</v>
      </c>
      <c r="R14" s="284">
        <f>AB14</f>
        <v>696000</v>
      </c>
      <c r="S14" s="285"/>
      <c r="T14" s="417"/>
      <c r="U14" s="418">
        <v>696000</v>
      </c>
      <c r="V14" s="419"/>
      <c r="W14" s="420"/>
      <c r="X14" s="431">
        <v>43200</v>
      </c>
      <c r="Y14" s="421"/>
      <c r="Z14" s="421"/>
      <c r="AA14" s="422">
        <f>Q14</f>
        <v>696000</v>
      </c>
      <c r="AB14" s="361">
        <f>SUM(AE14:AI14)</f>
        <v>696000</v>
      </c>
      <c r="AC14" s="361"/>
      <c r="AD14" s="424">
        <f>SUM(AE14:AJ14)-AJ14</f>
        <v>696000</v>
      </c>
      <c r="AE14" s="266">
        <v>696000</v>
      </c>
      <c r="AF14" s="425"/>
      <c r="AG14" s="425"/>
      <c r="AH14" s="425"/>
      <c r="AI14" s="426"/>
      <c r="AJ14" s="439"/>
      <c r="AK14" s="427"/>
      <c r="AL14" s="440"/>
      <c r="AM14" s="397">
        <v>134000</v>
      </c>
      <c r="AN14" s="398" t="str">
        <f t="shared" si="1"/>
        <v>1119</v>
      </c>
      <c r="AO14" s="336">
        <v>1119</v>
      </c>
      <c r="AP14" s="336"/>
      <c r="AR14" s="432">
        <f>U14</f>
        <v>696000</v>
      </c>
      <c r="AS14" s="433"/>
      <c r="AT14" s="434"/>
      <c r="AU14" s="435"/>
      <c r="AV14" s="436" t="e">
        <f>#REF!-#REF!</f>
        <v>#REF!</v>
      </c>
    </row>
    <row r="15" spans="1:48" s="399" customFormat="1" ht="25.5" customHeight="1" outlineLevel="2">
      <c r="A15" s="336">
        <v>1120</v>
      </c>
      <c r="B15" s="337" t="s">
        <v>4500</v>
      </c>
      <c r="C15" s="406" t="s">
        <v>4449</v>
      </c>
      <c r="D15" s="336">
        <v>1120</v>
      </c>
      <c r="E15" s="407" t="s">
        <v>4502</v>
      </c>
      <c r="F15" s="428" t="s">
        <v>4503</v>
      </c>
      <c r="G15" s="409"/>
      <c r="H15" s="429" t="s">
        <v>5428</v>
      </c>
      <c r="I15" s="411">
        <v>11</v>
      </c>
      <c r="J15" s="344" t="s">
        <v>5429</v>
      </c>
      <c r="K15" s="437"/>
      <c r="L15" s="413">
        <v>44228</v>
      </c>
      <c r="M15" s="414" t="s">
        <v>13</v>
      </c>
      <c r="N15" s="438">
        <v>44286</v>
      </c>
      <c r="O15" s="349"/>
      <c r="P15" s="350">
        <v>100000</v>
      </c>
      <c r="Q15" s="263">
        <f t="shared" si="4"/>
        <v>432000</v>
      </c>
      <c r="R15" s="284">
        <f>AB15</f>
        <v>432000</v>
      </c>
      <c r="S15" s="285"/>
      <c r="T15" s="417">
        <v>100000</v>
      </c>
      <c r="U15" s="418">
        <v>0</v>
      </c>
      <c r="V15" s="419"/>
      <c r="W15" s="420"/>
      <c r="X15" s="431">
        <v>43200</v>
      </c>
      <c r="Y15" s="421"/>
      <c r="Z15" s="421"/>
      <c r="AA15" s="422">
        <f t="shared" si="2"/>
        <v>432000</v>
      </c>
      <c r="AB15" s="361">
        <f t="shared" ref="AB15:AB16" si="8">SUM(AE15:AI15)</f>
        <v>432000</v>
      </c>
      <c r="AC15" s="361"/>
      <c r="AD15" s="424">
        <f t="shared" si="0"/>
        <v>432000</v>
      </c>
      <c r="AE15" s="266">
        <v>432000</v>
      </c>
      <c r="AF15" s="425"/>
      <c r="AG15" s="425"/>
      <c r="AH15" s="425"/>
      <c r="AI15" s="426"/>
      <c r="AJ15" s="439"/>
      <c r="AK15" s="427"/>
      <c r="AL15" s="440"/>
      <c r="AM15" s="397">
        <v>134000</v>
      </c>
      <c r="AN15" s="398" t="str">
        <f t="shared" si="1"/>
        <v>1120</v>
      </c>
      <c r="AO15" s="336">
        <v>1120</v>
      </c>
      <c r="AP15" s="336"/>
      <c r="AR15" s="432">
        <f t="shared" si="3"/>
        <v>0</v>
      </c>
      <c r="AS15" s="433"/>
      <c r="AT15" s="434"/>
      <c r="AU15" s="435"/>
      <c r="AV15" s="436" t="e">
        <f>#REF!-#REF!</f>
        <v>#REF!</v>
      </c>
    </row>
    <row r="16" spans="1:48" ht="25.5" hidden="1" customHeight="1" outlineLevel="2">
      <c r="A16" s="336">
        <v>11</v>
      </c>
      <c r="B16" s="337" t="s">
        <v>4500</v>
      </c>
      <c r="C16" s="406" t="s">
        <v>4449</v>
      </c>
      <c r="D16" s="336">
        <v>11</v>
      </c>
      <c r="E16" s="407" t="s">
        <v>4502</v>
      </c>
      <c r="F16" s="428" t="s">
        <v>4503</v>
      </c>
      <c r="G16" s="409"/>
      <c r="H16" s="429" t="s">
        <v>5430</v>
      </c>
      <c r="I16" s="411">
        <v>11</v>
      </c>
      <c r="J16" s="443"/>
      <c r="K16" s="437"/>
      <c r="L16" s="444"/>
      <c r="M16" s="414" t="s">
        <v>13</v>
      </c>
      <c r="N16" s="415"/>
      <c r="O16" s="349">
        <v>0</v>
      </c>
      <c r="P16" s="416"/>
      <c r="Q16" s="263">
        <f t="shared" si="4"/>
        <v>0</v>
      </c>
      <c r="R16" s="284"/>
      <c r="S16" s="285"/>
      <c r="T16" s="417"/>
      <c r="U16" s="445">
        <v>0</v>
      </c>
      <c r="V16" s="446"/>
      <c r="W16" s="447"/>
      <c r="X16" s="448"/>
      <c r="Y16" s="449"/>
      <c r="Z16" s="449"/>
      <c r="AA16" s="450">
        <f t="shared" si="2"/>
        <v>0</v>
      </c>
      <c r="AB16" s="451">
        <f t="shared" si="8"/>
        <v>0</v>
      </c>
      <c r="AC16" s="276"/>
      <c r="AD16" s="424">
        <f t="shared" si="0"/>
        <v>0</v>
      </c>
      <c r="AE16" s="452"/>
      <c r="AF16" s="453"/>
      <c r="AG16" s="453"/>
      <c r="AH16" s="453"/>
      <c r="AI16" s="454"/>
      <c r="AJ16" s="455"/>
      <c r="AK16" s="456"/>
      <c r="AL16" s="457"/>
      <c r="AM16" s="308" t="str">
        <f t="shared" ref="AM16:AM47" si="9">I16&amp;J16</f>
        <v>11</v>
      </c>
      <c r="AN16" s="369" t="str">
        <f t="shared" si="1"/>
        <v>11</v>
      </c>
      <c r="AO16" s="336">
        <v>11</v>
      </c>
      <c r="AP16" s="336"/>
      <c r="AR16" s="370">
        <f>U16+AB16</f>
        <v>0</v>
      </c>
      <c r="AS16" s="54"/>
      <c r="AT16" s="55"/>
      <c r="AU16" s="41"/>
      <c r="AV16" s="57" t="e">
        <f>#REF!-#REF!</f>
        <v>#REF!</v>
      </c>
    </row>
    <row r="17" spans="1:48" ht="25.5" customHeight="1" outlineLevel="2">
      <c r="A17" s="291">
        <v>1121</v>
      </c>
      <c r="B17" s="337" t="s">
        <v>4500</v>
      </c>
      <c r="C17" s="458" t="s">
        <v>4449</v>
      </c>
      <c r="D17" s="291">
        <v>1121</v>
      </c>
      <c r="E17" s="407" t="s">
        <v>4505</v>
      </c>
      <c r="F17" s="428" t="s">
        <v>4503</v>
      </c>
      <c r="G17" s="409"/>
      <c r="H17" s="410" t="s">
        <v>5431</v>
      </c>
      <c r="I17" s="411">
        <v>11</v>
      </c>
      <c r="J17" s="459" t="s">
        <v>4507</v>
      </c>
      <c r="K17" s="460">
        <v>26</v>
      </c>
      <c r="L17" s="413">
        <v>44287</v>
      </c>
      <c r="M17" s="414" t="s">
        <v>13</v>
      </c>
      <c r="N17" s="415">
        <v>44286</v>
      </c>
      <c r="O17" s="280">
        <v>1100000</v>
      </c>
      <c r="P17" s="416">
        <v>1350000</v>
      </c>
      <c r="Q17" s="263">
        <f>R17+S17</f>
        <v>1100000</v>
      </c>
      <c r="R17" s="284">
        <v>80000</v>
      </c>
      <c r="S17" s="59">
        <f>1100000-R17</f>
        <v>1020000</v>
      </c>
      <c r="T17" s="417">
        <v>1350000</v>
      </c>
      <c r="U17" s="418">
        <v>1100000</v>
      </c>
      <c r="V17" s="43"/>
      <c r="W17" s="44"/>
      <c r="X17" s="58" t="s">
        <v>4506</v>
      </c>
      <c r="Y17" s="46"/>
      <c r="Z17" s="46"/>
      <c r="AA17" s="370">
        <f>AB17+R17</f>
        <v>4060000</v>
      </c>
      <c r="AB17" s="461">
        <f t="shared" ref="AB17:AB28" si="10">SUM(AE17:AI17)+AJ17</f>
        <v>3980000</v>
      </c>
      <c r="AC17" s="276"/>
      <c r="AD17" s="424">
        <f t="shared" ref="AD17:AD28" si="11">SUM(AE17:AJ17)</f>
        <v>3980000</v>
      </c>
      <c r="AE17" s="49">
        <v>2710000</v>
      </c>
      <c r="AF17" s="50"/>
      <c r="AG17" s="50"/>
      <c r="AH17" s="50"/>
      <c r="AI17" s="51">
        <v>250000</v>
      </c>
      <c r="AJ17" s="52">
        <f t="shared" ref="AJ17:AJ31" si="12">+S17</f>
        <v>1020000</v>
      </c>
      <c r="AK17" s="462">
        <v>33000</v>
      </c>
      <c r="AL17" s="396" t="s">
        <v>5432</v>
      </c>
      <c r="AM17" s="308" t="str">
        <f t="shared" si="9"/>
        <v>1121</v>
      </c>
      <c r="AN17" s="369" t="str">
        <f t="shared" si="1"/>
        <v>1121</v>
      </c>
      <c r="AO17" s="291">
        <v>1121</v>
      </c>
      <c r="AR17" s="370">
        <f>U17+AB17</f>
        <v>5080000</v>
      </c>
      <c r="AS17" s="54"/>
      <c r="AT17" s="55"/>
      <c r="AU17" s="41"/>
      <c r="AV17" s="57" t="e">
        <f>#REF!-#REF!</f>
        <v>#REF!</v>
      </c>
    </row>
    <row r="18" spans="1:48" ht="25.5" customHeight="1" outlineLevel="2">
      <c r="A18" s="291">
        <v>1122</v>
      </c>
      <c r="B18" s="337" t="s">
        <v>4500</v>
      </c>
      <c r="C18" s="406" t="s">
        <v>4449</v>
      </c>
      <c r="D18" s="291">
        <v>1122</v>
      </c>
      <c r="E18" s="407" t="s">
        <v>4505</v>
      </c>
      <c r="F18" s="428" t="s">
        <v>4503</v>
      </c>
      <c r="G18" s="409"/>
      <c r="H18" s="410" t="s">
        <v>5433</v>
      </c>
      <c r="I18" s="411">
        <v>11</v>
      </c>
      <c r="J18" s="459" t="s">
        <v>4508</v>
      </c>
      <c r="K18" s="460">
        <v>27</v>
      </c>
      <c r="L18" s="413">
        <v>44287</v>
      </c>
      <c r="M18" s="414" t="s">
        <v>13</v>
      </c>
      <c r="N18" s="415">
        <v>44286</v>
      </c>
      <c r="O18" s="280">
        <v>3400000</v>
      </c>
      <c r="P18" s="416">
        <v>3500000</v>
      </c>
      <c r="Q18" s="263">
        <f t="shared" si="4"/>
        <v>3500000</v>
      </c>
      <c r="R18" s="284">
        <v>120000</v>
      </c>
      <c r="S18" s="59">
        <f>3500000-R18</f>
        <v>3380000</v>
      </c>
      <c r="T18" s="417">
        <v>3500000</v>
      </c>
      <c r="U18" s="418">
        <v>3500000</v>
      </c>
      <c r="V18" s="43"/>
      <c r="W18" s="44"/>
      <c r="X18" s="58" t="s">
        <v>4506</v>
      </c>
      <c r="Y18" s="46"/>
      <c r="Z18" s="46"/>
      <c r="AA18" s="370">
        <f>AB18+R18</f>
        <v>7000000</v>
      </c>
      <c r="AB18" s="461">
        <f t="shared" si="10"/>
        <v>6880000</v>
      </c>
      <c r="AC18" s="276"/>
      <c r="AD18" s="424">
        <f t="shared" si="11"/>
        <v>6880000</v>
      </c>
      <c r="AE18" s="49">
        <v>3500000</v>
      </c>
      <c r="AF18" s="50"/>
      <c r="AG18" s="50"/>
      <c r="AH18" s="50"/>
      <c r="AI18" s="51"/>
      <c r="AJ18" s="52">
        <f t="shared" si="12"/>
        <v>3380000</v>
      </c>
      <c r="AK18" s="462">
        <v>480000</v>
      </c>
      <c r="AL18" s="396" t="s">
        <v>5434</v>
      </c>
      <c r="AM18" s="308" t="str">
        <f t="shared" si="9"/>
        <v>1122</v>
      </c>
      <c r="AN18" s="369" t="str">
        <f t="shared" si="1"/>
        <v>1122</v>
      </c>
      <c r="AO18" s="291">
        <v>1122</v>
      </c>
      <c r="AR18" s="370">
        <f>U18+AB18</f>
        <v>10380000</v>
      </c>
      <c r="AS18" s="54"/>
      <c r="AT18" s="55"/>
      <c r="AU18" s="41"/>
      <c r="AV18" s="57" t="e">
        <f>#REF!-#REF!</f>
        <v>#REF!</v>
      </c>
    </row>
    <row r="19" spans="1:48" ht="25.5" customHeight="1" outlineLevel="2">
      <c r="A19" s="291">
        <v>1123</v>
      </c>
      <c r="B19" s="337" t="s">
        <v>4500</v>
      </c>
      <c r="C19" s="458" t="s">
        <v>4449</v>
      </c>
      <c r="D19" s="291">
        <v>1123</v>
      </c>
      <c r="E19" s="407" t="s">
        <v>4505</v>
      </c>
      <c r="F19" s="428" t="s">
        <v>4503</v>
      </c>
      <c r="G19" s="409"/>
      <c r="H19" s="410" t="s">
        <v>5435</v>
      </c>
      <c r="I19" s="411">
        <v>11</v>
      </c>
      <c r="J19" s="459" t="s">
        <v>4509</v>
      </c>
      <c r="K19" s="460">
        <v>28</v>
      </c>
      <c r="L19" s="413">
        <v>44287</v>
      </c>
      <c r="M19" s="414" t="s">
        <v>13</v>
      </c>
      <c r="N19" s="415">
        <v>44286</v>
      </c>
      <c r="O19" s="280">
        <v>2000000</v>
      </c>
      <c r="P19" s="416">
        <v>2100000</v>
      </c>
      <c r="Q19" s="263">
        <f t="shared" si="4"/>
        <v>2100000</v>
      </c>
      <c r="R19" s="284">
        <v>40000</v>
      </c>
      <c r="S19" s="59">
        <f>2100000-R19</f>
        <v>2060000</v>
      </c>
      <c r="T19" s="417">
        <v>2100000</v>
      </c>
      <c r="U19" s="418">
        <v>2100000</v>
      </c>
      <c r="V19" s="43"/>
      <c r="W19" s="44"/>
      <c r="X19" s="58" t="s">
        <v>4506</v>
      </c>
      <c r="Y19" s="46"/>
      <c r="Z19" s="46"/>
      <c r="AA19" s="370">
        <f>AB19+R19</f>
        <v>4293000</v>
      </c>
      <c r="AB19" s="461">
        <f t="shared" si="10"/>
        <v>4253000</v>
      </c>
      <c r="AC19" s="276"/>
      <c r="AD19" s="424">
        <f t="shared" si="11"/>
        <v>4253000</v>
      </c>
      <c r="AE19" s="49">
        <v>2193000</v>
      </c>
      <c r="AF19" s="50"/>
      <c r="AG19" s="50"/>
      <c r="AH19" s="50"/>
      <c r="AI19" s="51"/>
      <c r="AJ19" s="52">
        <f t="shared" si="12"/>
        <v>2060000</v>
      </c>
      <c r="AK19" s="462">
        <v>293000</v>
      </c>
      <c r="AL19" s="396" t="s">
        <v>5436</v>
      </c>
      <c r="AM19" s="308" t="str">
        <f t="shared" si="9"/>
        <v>1123</v>
      </c>
      <c r="AN19" s="369" t="str">
        <f t="shared" si="1"/>
        <v>1123</v>
      </c>
      <c r="AO19" s="291">
        <v>1123</v>
      </c>
      <c r="AR19" s="370">
        <f>U19+AB19-AJ19</f>
        <v>4293000</v>
      </c>
      <c r="AS19" s="54"/>
      <c r="AT19" s="55"/>
      <c r="AU19" s="41"/>
      <c r="AV19" s="57" t="e">
        <f>#REF!-#REF!</f>
        <v>#REF!</v>
      </c>
    </row>
    <row r="20" spans="1:48" ht="25.5" customHeight="1" outlineLevel="2">
      <c r="A20" s="291">
        <v>1124</v>
      </c>
      <c r="B20" s="337" t="s">
        <v>4500</v>
      </c>
      <c r="C20" s="458" t="s">
        <v>4449</v>
      </c>
      <c r="D20" s="291">
        <v>1124</v>
      </c>
      <c r="E20" s="407" t="s">
        <v>4505</v>
      </c>
      <c r="F20" s="428" t="s">
        <v>4503</v>
      </c>
      <c r="G20" s="409"/>
      <c r="H20" s="429" t="s">
        <v>5437</v>
      </c>
      <c r="I20" s="411">
        <v>11</v>
      </c>
      <c r="J20" s="459" t="s">
        <v>4455</v>
      </c>
      <c r="K20" s="437"/>
      <c r="L20" s="413">
        <v>44287</v>
      </c>
      <c r="M20" s="414" t="s">
        <v>13</v>
      </c>
      <c r="N20" s="415">
        <v>44286</v>
      </c>
      <c r="O20" s="280">
        <v>650000</v>
      </c>
      <c r="P20" s="416">
        <v>700000</v>
      </c>
      <c r="Q20" s="263">
        <f>R20+S20</f>
        <v>700000</v>
      </c>
      <c r="R20" s="284"/>
      <c r="S20" s="441">
        <v>700000</v>
      </c>
      <c r="T20" s="417">
        <v>700000</v>
      </c>
      <c r="U20" s="418">
        <v>700000</v>
      </c>
      <c r="V20" s="43"/>
      <c r="W20" s="44"/>
      <c r="X20" s="58" t="s">
        <v>4506</v>
      </c>
      <c r="Y20" s="46"/>
      <c r="Z20" s="46"/>
      <c r="AA20" s="370">
        <f>AB20-AJ20+P20</f>
        <v>1636000</v>
      </c>
      <c r="AB20" s="461">
        <f t="shared" si="10"/>
        <v>1636000</v>
      </c>
      <c r="AC20" s="276"/>
      <c r="AD20" s="424">
        <f t="shared" si="11"/>
        <v>1636000</v>
      </c>
      <c r="AE20" s="49">
        <v>936000</v>
      </c>
      <c r="AF20" s="50"/>
      <c r="AG20" s="50"/>
      <c r="AH20" s="50"/>
      <c r="AI20" s="51"/>
      <c r="AJ20" s="52">
        <f t="shared" si="12"/>
        <v>700000</v>
      </c>
      <c r="AK20" s="462">
        <v>40000</v>
      </c>
      <c r="AL20" s="442" t="s">
        <v>4510</v>
      </c>
      <c r="AM20" s="308" t="str">
        <f t="shared" si="9"/>
        <v>1124</v>
      </c>
      <c r="AN20" s="369" t="str">
        <f t="shared" si="1"/>
        <v>1124</v>
      </c>
      <c r="AO20" s="291">
        <v>1124</v>
      </c>
      <c r="AR20" s="370">
        <f>U20+AB20-AJ20</f>
        <v>1636000</v>
      </c>
      <c r="AS20" s="54"/>
      <c r="AT20" s="55"/>
      <c r="AU20" s="41"/>
      <c r="AV20" s="57" t="e">
        <f>#REF!-#REF!</f>
        <v>#REF!</v>
      </c>
    </row>
    <row r="21" spans="1:48" ht="25.5" customHeight="1" outlineLevel="2">
      <c r="A21" s="291">
        <v>1125</v>
      </c>
      <c r="B21" s="337" t="s">
        <v>4500</v>
      </c>
      <c r="C21" s="458" t="s">
        <v>4449</v>
      </c>
      <c r="D21" s="291">
        <v>1125</v>
      </c>
      <c r="E21" s="407" t="s">
        <v>4505</v>
      </c>
      <c r="F21" s="428" t="s">
        <v>4503</v>
      </c>
      <c r="G21" s="409"/>
      <c r="H21" s="410" t="s">
        <v>5438</v>
      </c>
      <c r="I21" s="411">
        <v>11</v>
      </c>
      <c r="J21" s="459" t="s">
        <v>4456</v>
      </c>
      <c r="K21" s="460">
        <v>29</v>
      </c>
      <c r="L21" s="413">
        <v>44287</v>
      </c>
      <c r="M21" s="414" t="s">
        <v>13</v>
      </c>
      <c r="N21" s="415">
        <v>44286</v>
      </c>
      <c r="O21" s="280">
        <v>600000</v>
      </c>
      <c r="P21" s="416">
        <v>710000</v>
      </c>
      <c r="Q21" s="263">
        <f t="shared" si="4"/>
        <v>710000</v>
      </c>
      <c r="R21" s="284"/>
      <c r="S21" s="59">
        <v>710000</v>
      </c>
      <c r="T21" s="417">
        <v>710000</v>
      </c>
      <c r="U21" s="418">
        <v>600000</v>
      </c>
      <c r="V21" s="43"/>
      <c r="W21" s="44"/>
      <c r="X21" s="58" t="s">
        <v>4506</v>
      </c>
      <c r="Y21" s="46"/>
      <c r="Z21" s="46"/>
      <c r="AA21" s="370">
        <f>AB21+R21</f>
        <v>1422000</v>
      </c>
      <c r="AB21" s="461">
        <f t="shared" si="10"/>
        <v>1422000</v>
      </c>
      <c r="AC21" s="276"/>
      <c r="AD21" s="424">
        <f t="shared" si="11"/>
        <v>1422000</v>
      </c>
      <c r="AE21" s="49">
        <v>712000</v>
      </c>
      <c r="AF21" s="50"/>
      <c r="AG21" s="50"/>
      <c r="AH21" s="50"/>
      <c r="AI21" s="51"/>
      <c r="AJ21" s="52">
        <f t="shared" si="12"/>
        <v>710000</v>
      </c>
      <c r="AK21" s="462">
        <v>298000</v>
      </c>
      <c r="AL21" s="396" t="s">
        <v>5439</v>
      </c>
      <c r="AM21" s="308" t="str">
        <f t="shared" si="9"/>
        <v>1125</v>
      </c>
      <c r="AN21" s="369" t="str">
        <f t="shared" si="1"/>
        <v>1125</v>
      </c>
      <c r="AO21" s="291">
        <v>1125</v>
      </c>
      <c r="AR21" s="370">
        <f>U21+AB21-AJ21</f>
        <v>1312000</v>
      </c>
      <c r="AS21" s="54"/>
      <c r="AT21" s="55"/>
      <c r="AU21" s="41"/>
      <c r="AV21" s="57" t="e">
        <f>#REF!-#REF!</f>
        <v>#REF!</v>
      </c>
    </row>
    <row r="22" spans="1:48" ht="25.5" customHeight="1" outlineLevel="2">
      <c r="A22" s="291">
        <v>1126</v>
      </c>
      <c r="B22" s="337" t="s">
        <v>4500</v>
      </c>
      <c r="C22" s="458" t="s">
        <v>4449</v>
      </c>
      <c r="D22" s="291">
        <v>1126</v>
      </c>
      <c r="E22" s="407" t="s">
        <v>4505</v>
      </c>
      <c r="F22" s="428" t="s">
        <v>4503</v>
      </c>
      <c r="G22" s="409"/>
      <c r="H22" s="410" t="s">
        <v>5440</v>
      </c>
      <c r="I22" s="411">
        <v>11</v>
      </c>
      <c r="J22" s="459" t="s">
        <v>4457</v>
      </c>
      <c r="K22" s="460">
        <v>30</v>
      </c>
      <c r="L22" s="413">
        <v>44287</v>
      </c>
      <c r="M22" s="414" t="s">
        <v>13</v>
      </c>
      <c r="N22" s="415">
        <v>44286</v>
      </c>
      <c r="O22" s="280">
        <v>450000</v>
      </c>
      <c r="P22" s="416">
        <v>520000</v>
      </c>
      <c r="Q22" s="263">
        <f t="shared" si="4"/>
        <v>450000</v>
      </c>
      <c r="R22" s="284"/>
      <c r="S22" s="59">
        <v>450000</v>
      </c>
      <c r="T22" s="417">
        <v>520000</v>
      </c>
      <c r="U22" s="418">
        <v>450000</v>
      </c>
      <c r="V22" s="43"/>
      <c r="W22" s="44"/>
      <c r="X22" s="58" t="s">
        <v>4506</v>
      </c>
      <c r="Y22" s="46"/>
      <c r="Z22" s="46"/>
      <c r="AA22" s="370">
        <f>AB22+R22</f>
        <v>720000</v>
      </c>
      <c r="AB22" s="461">
        <f>SUM(AE22:AI22)+AJ22</f>
        <v>720000</v>
      </c>
      <c r="AC22" s="276"/>
      <c r="AD22" s="424">
        <f t="shared" si="11"/>
        <v>720000</v>
      </c>
      <c r="AE22" s="266">
        <v>200000</v>
      </c>
      <c r="AF22" s="50"/>
      <c r="AG22" s="50"/>
      <c r="AH22" s="50"/>
      <c r="AI22" s="51">
        <v>70000</v>
      </c>
      <c r="AJ22" s="52">
        <f t="shared" si="12"/>
        <v>450000</v>
      </c>
      <c r="AK22" s="462">
        <v>30000</v>
      </c>
      <c r="AL22" s="396" t="s">
        <v>5439</v>
      </c>
      <c r="AM22" s="308" t="str">
        <f t="shared" si="9"/>
        <v>1126</v>
      </c>
      <c r="AN22" s="369" t="str">
        <f t="shared" si="1"/>
        <v>1126</v>
      </c>
      <c r="AO22" s="291">
        <v>1126</v>
      </c>
      <c r="AR22" s="370">
        <f>U22+AB22</f>
        <v>1170000</v>
      </c>
      <c r="AS22" s="54"/>
      <c r="AT22" s="55"/>
      <c r="AU22" s="41"/>
      <c r="AV22" s="57" t="e">
        <f>#REF!-#REF!</f>
        <v>#REF!</v>
      </c>
    </row>
    <row r="23" spans="1:48" s="470" customFormat="1" ht="25.5" customHeight="1" outlineLevel="2">
      <c r="A23" s="463">
        <v>1127</v>
      </c>
      <c r="B23" s="337" t="s">
        <v>4500</v>
      </c>
      <c r="C23" s="458" t="s">
        <v>4449</v>
      </c>
      <c r="D23" s="463">
        <v>1127</v>
      </c>
      <c r="E23" s="407" t="s">
        <v>4505</v>
      </c>
      <c r="F23" s="428" t="s">
        <v>4503</v>
      </c>
      <c r="G23" s="409"/>
      <c r="H23" s="410" t="s">
        <v>5441</v>
      </c>
      <c r="I23" s="411">
        <v>11</v>
      </c>
      <c r="J23" s="459" t="s">
        <v>4511</v>
      </c>
      <c r="K23" s="460">
        <v>31</v>
      </c>
      <c r="L23" s="413">
        <v>44287</v>
      </c>
      <c r="M23" s="464" t="s">
        <v>13</v>
      </c>
      <c r="N23" s="415">
        <v>44286</v>
      </c>
      <c r="O23" s="280">
        <v>300000</v>
      </c>
      <c r="P23" s="465">
        <v>400000</v>
      </c>
      <c r="Q23" s="263">
        <f t="shared" si="4"/>
        <v>400000</v>
      </c>
      <c r="R23" s="284"/>
      <c r="S23" s="59">
        <v>400000</v>
      </c>
      <c r="T23" s="466">
        <v>400000</v>
      </c>
      <c r="U23" s="418">
        <v>300000</v>
      </c>
      <c r="V23" s="43"/>
      <c r="W23" s="44"/>
      <c r="X23" s="58" t="s">
        <v>4506</v>
      </c>
      <c r="Y23" s="46"/>
      <c r="Z23" s="46"/>
      <c r="AA23" s="47">
        <f>AB23+R23</f>
        <v>400000</v>
      </c>
      <c r="AB23" s="48">
        <f t="shared" si="10"/>
        <v>400000</v>
      </c>
      <c r="AC23" s="265"/>
      <c r="AD23" s="424">
        <f t="shared" si="11"/>
        <v>400000</v>
      </c>
      <c r="AE23" s="49"/>
      <c r="AF23" s="50"/>
      <c r="AG23" s="50"/>
      <c r="AH23" s="50"/>
      <c r="AI23" s="60"/>
      <c r="AJ23" s="52">
        <f t="shared" si="12"/>
        <v>400000</v>
      </c>
      <c r="AK23" s="467"/>
      <c r="AL23" s="396" t="s">
        <v>5439</v>
      </c>
      <c r="AM23" s="468" t="str">
        <f t="shared" si="9"/>
        <v>1127</v>
      </c>
      <c r="AN23" s="469" t="str">
        <f t="shared" si="1"/>
        <v>1127</v>
      </c>
      <c r="AO23" s="463">
        <v>1127</v>
      </c>
      <c r="AP23" s="463"/>
      <c r="AR23" s="63"/>
      <c r="AS23" s="64"/>
      <c r="AT23" s="65"/>
      <c r="AU23" s="66"/>
      <c r="AV23" s="67" t="e">
        <f>#REF!-#REF!</f>
        <v>#REF!</v>
      </c>
    </row>
    <row r="24" spans="1:48" s="470" customFormat="1" ht="25.5" hidden="1" customHeight="1" outlineLevel="2">
      <c r="A24" s="463" t="s">
        <v>4454</v>
      </c>
      <c r="B24" s="471" t="s">
        <v>4500</v>
      </c>
      <c r="C24" s="472" t="s">
        <v>4449</v>
      </c>
      <c r="D24" s="463" t="s">
        <v>4454</v>
      </c>
      <c r="E24" s="473" t="s">
        <v>4505</v>
      </c>
      <c r="F24" s="474" t="s">
        <v>4503</v>
      </c>
      <c r="G24" s="475"/>
      <c r="H24" s="410" t="s">
        <v>5442</v>
      </c>
      <c r="I24" s="476"/>
      <c r="J24" s="477"/>
      <c r="K24" s="478"/>
      <c r="L24" s="413">
        <v>44287</v>
      </c>
      <c r="M24" s="464" t="s">
        <v>13</v>
      </c>
      <c r="N24" s="415">
        <v>44286</v>
      </c>
      <c r="O24" s="280">
        <v>0</v>
      </c>
      <c r="P24" s="465"/>
      <c r="Q24" s="479">
        <f t="shared" si="4"/>
        <v>0</v>
      </c>
      <c r="R24" s="278"/>
      <c r="S24" s="480"/>
      <c r="T24" s="466"/>
      <c r="U24" s="418">
        <v>0</v>
      </c>
      <c r="V24" s="61"/>
      <c r="W24" s="68"/>
      <c r="X24" s="69"/>
      <c r="Y24" s="70"/>
      <c r="Z24" s="70"/>
      <c r="AA24" s="47">
        <f>AB24-AJ24+P24</f>
        <v>0</v>
      </c>
      <c r="AB24" s="72">
        <f t="shared" si="10"/>
        <v>0</v>
      </c>
      <c r="AC24" s="267"/>
      <c r="AD24" s="424">
        <f t="shared" si="11"/>
        <v>0</v>
      </c>
      <c r="AE24" s="62"/>
      <c r="AF24" s="73"/>
      <c r="AG24" s="73"/>
      <c r="AH24" s="73"/>
      <c r="AI24" s="74"/>
      <c r="AJ24" s="75">
        <f t="shared" si="12"/>
        <v>0</v>
      </c>
      <c r="AK24" s="467"/>
      <c r="AL24" s="481"/>
      <c r="AM24" s="468" t="str">
        <f t="shared" si="9"/>
        <v/>
      </c>
      <c r="AN24" s="469" t="str">
        <f t="shared" si="1"/>
        <v/>
      </c>
      <c r="AO24" s="463" t="s">
        <v>4454</v>
      </c>
      <c r="AP24" s="463"/>
      <c r="AR24" s="71">
        <f>U24+AB24-AJ24</f>
        <v>0</v>
      </c>
      <c r="AS24" s="64"/>
      <c r="AT24" s="65"/>
      <c r="AU24" s="66"/>
      <c r="AV24" s="67" t="e">
        <f>#REF!-#REF!</f>
        <v>#REF!</v>
      </c>
    </row>
    <row r="25" spans="1:48" s="470" customFormat="1" ht="25.5" hidden="1" customHeight="1" outlineLevel="2">
      <c r="A25" s="463" t="s">
        <v>4454</v>
      </c>
      <c r="B25" s="471" t="s">
        <v>4500</v>
      </c>
      <c r="C25" s="472" t="s">
        <v>4449</v>
      </c>
      <c r="D25" s="463" t="s">
        <v>4454</v>
      </c>
      <c r="E25" s="473" t="s">
        <v>4505</v>
      </c>
      <c r="F25" s="474" t="s">
        <v>4503</v>
      </c>
      <c r="G25" s="475"/>
      <c r="H25" s="410" t="s">
        <v>5443</v>
      </c>
      <c r="I25" s="476"/>
      <c r="J25" s="477"/>
      <c r="K25" s="478"/>
      <c r="L25" s="413">
        <v>44287</v>
      </c>
      <c r="M25" s="464" t="s">
        <v>13</v>
      </c>
      <c r="N25" s="415">
        <v>44286</v>
      </c>
      <c r="O25" s="280">
        <v>0</v>
      </c>
      <c r="P25" s="465"/>
      <c r="Q25" s="479">
        <f t="shared" si="4"/>
        <v>0</v>
      </c>
      <c r="R25" s="278"/>
      <c r="S25" s="480"/>
      <c r="T25" s="466"/>
      <c r="U25" s="418">
        <v>0</v>
      </c>
      <c r="V25" s="61"/>
      <c r="W25" s="68"/>
      <c r="X25" s="69"/>
      <c r="Y25" s="70"/>
      <c r="Z25" s="70"/>
      <c r="AA25" s="47">
        <f>AB25-AJ25+P25</f>
        <v>0</v>
      </c>
      <c r="AB25" s="72">
        <f t="shared" si="10"/>
        <v>0</v>
      </c>
      <c r="AC25" s="267"/>
      <c r="AD25" s="424">
        <f t="shared" si="11"/>
        <v>0</v>
      </c>
      <c r="AE25" s="62"/>
      <c r="AF25" s="73"/>
      <c r="AG25" s="73"/>
      <c r="AH25" s="73"/>
      <c r="AI25" s="74"/>
      <c r="AJ25" s="75">
        <f t="shared" si="12"/>
        <v>0</v>
      </c>
      <c r="AK25" s="467"/>
      <c r="AL25" s="481"/>
      <c r="AM25" s="468" t="str">
        <f t="shared" si="9"/>
        <v/>
      </c>
      <c r="AN25" s="469" t="str">
        <f t="shared" si="1"/>
        <v/>
      </c>
      <c r="AO25" s="463" t="s">
        <v>4454</v>
      </c>
      <c r="AP25" s="463"/>
      <c r="AR25" s="71">
        <f>U25+AB25-AJ25</f>
        <v>0</v>
      </c>
      <c r="AS25" s="64"/>
      <c r="AT25" s="65"/>
      <c r="AU25" s="66"/>
      <c r="AV25" s="67" t="e">
        <f>#REF!-#REF!</f>
        <v>#REF!</v>
      </c>
    </row>
    <row r="26" spans="1:48" ht="25.5" customHeight="1" outlineLevel="2" thickBot="1">
      <c r="A26" s="291">
        <v>1581</v>
      </c>
      <c r="B26" s="337" t="s">
        <v>4500</v>
      </c>
      <c r="C26" s="458" t="s">
        <v>4449</v>
      </c>
      <c r="D26" s="291">
        <v>1581</v>
      </c>
      <c r="E26" s="407" t="s">
        <v>4553</v>
      </c>
      <c r="F26" s="428" t="s">
        <v>4503</v>
      </c>
      <c r="G26" s="409"/>
      <c r="H26" s="410" t="s">
        <v>5444</v>
      </c>
      <c r="I26" s="411">
        <v>15</v>
      </c>
      <c r="J26" s="459" t="s">
        <v>5445</v>
      </c>
      <c r="K26" s="460">
        <v>25</v>
      </c>
      <c r="L26" s="413">
        <v>44440</v>
      </c>
      <c r="M26" s="464" t="s">
        <v>13</v>
      </c>
      <c r="N26" s="415">
        <v>44286</v>
      </c>
      <c r="O26" s="280">
        <v>600000</v>
      </c>
      <c r="P26" s="465">
        <v>540000</v>
      </c>
      <c r="Q26" s="263">
        <f t="shared" si="4"/>
        <v>540000</v>
      </c>
      <c r="R26" s="284"/>
      <c r="S26" s="59">
        <v>540000</v>
      </c>
      <c r="T26" s="466">
        <v>540000</v>
      </c>
      <c r="U26" s="418">
        <v>540000</v>
      </c>
      <c r="V26" s="43"/>
      <c r="W26" s="44"/>
      <c r="X26" s="58" t="s">
        <v>4506</v>
      </c>
      <c r="Y26" s="46"/>
      <c r="Z26" s="46"/>
      <c r="AA26" s="47">
        <f>AB26-AJ26+P26</f>
        <v>940000</v>
      </c>
      <c r="AB26" s="48">
        <f t="shared" si="10"/>
        <v>940000</v>
      </c>
      <c r="AC26" s="265"/>
      <c r="AD26" s="424">
        <f t="shared" si="11"/>
        <v>940000</v>
      </c>
      <c r="AE26" s="49">
        <v>400000</v>
      </c>
      <c r="AF26" s="50"/>
      <c r="AG26" s="50"/>
      <c r="AH26" s="50"/>
      <c r="AI26" s="51"/>
      <c r="AJ26" s="52">
        <f t="shared" si="12"/>
        <v>540000</v>
      </c>
      <c r="AK26" s="462"/>
      <c r="AL26" s="396" t="s">
        <v>5439</v>
      </c>
      <c r="AM26" s="308" t="str">
        <f t="shared" si="9"/>
        <v>1581</v>
      </c>
      <c r="AN26" s="369" t="str">
        <f t="shared" si="1"/>
        <v>1581</v>
      </c>
      <c r="AO26" s="291">
        <v>1581</v>
      </c>
      <c r="AR26" s="47">
        <f>U26+AE26</f>
        <v>940000</v>
      </c>
      <c r="AS26" s="54"/>
      <c r="AT26" s="55"/>
      <c r="AU26" s="56"/>
      <c r="AV26" s="57" t="e">
        <f>#REF!-#REF!</f>
        <v>#REF!</v>
      </c>
    </row>
    <row r="27" spans="1:48" ht="25.5" customHeight="1" outlineLevel="2" thickBot="1">
      <c r="A27" s="291">
        <v>3111</v>
      </c>
      <c r="B27" s="482" t="s">
        <v>4513</v>
      </c>
      <c r="C27" s="458" t="s">
        <v>4449</v>
      </c>
      <c r="D27" s="291">
        <v>3111</v>
      </c>
      <c r="E27" s="407" t="s">
        <v>4514</v>
      </c>
      <c r="F27" s="428" t="s">
        <v>4503</v>
      </c>
      <c r="G27" s="409"/>
      <c r="H27" s="483" t="s">
        <v>5446</v>
      </c>
      <c r="I27" s="411">
        <v>31</v>
      </c>
      <c r="J27" s="459" t="s">
        <v>4504</v>
      </c>
      <c r="K27" s="460">
        <v>32</v>
      </c>
      <c r="L27" s="413">
        <v>44287</v>
      </c>
      <c r="M27" s="464" t="s">
        <v>13</v>
      </c>
      <c r="N27" s="415">
        <v>44439</v>
      </c>
      <c r="O27" s="280">
        <v>4000000</v>
      </c>
      <c r="P27" s="465">
        <v>2600000</v>
      </c>
      <c r="Q27" s="263">
        <f t="shared" si="4"/>
        <v>2600000</v>
      </c>
      <c r="R27" s="284"/>
      <c r="S27" s="59">
        <v>2600000</v>
      </c>
      <c r="T27" s="466">
        <v>2600000</v>
      </c>
      <c r="U27" s="418">
        <v>2500000</v>
      </c>
      <c r="V27" s="43"/>
      <c r="W27" s="44"/>
      <c r="X27" s="58" t="s">
        <v>4506</v>
      </c>
      <c r="Y27" s="46"/>
      <c r="Z27" s="46"/>
      <c r="AA27" s="47">
        <f>AB27+R27</f>
        <v>5600000</v>
      </c>
      <c r="AB27" s="48">
        <f>SUM(AE27:AI27)+AJ27</f>
        <v>5600000</v>
      </c>
      <c r="AC27" s="265"/>
      <c r="AD27" s="424">
        <f t="shared" si="11"/>
        <v>5600000</v>
      </c>
      <c r="AE27" s="49"/>
      <c r="AF27" s="50"/>
      <c r="AG27" s="50"/>
      <c r="AH27" s="76"/>
      <c r="AI27" s="77">
        <v>3000000</v>
      </c>
      <c r="AJ27" s="52">
        <f t="shared" si="12"/>
        <v>2600000</v>
      </c>
      <c r="AK27" s="462"/>
      <c r="AL27" s="484" t="s">
        <v>5439</v>
      </c>
      <c r="AM27" s="308" t="str">
        <f t="shared" si="9"/>
        <v>3111</v>
      </c>
      <c r="AN27" s="369" t="str">
        <f t="shared" si="1"/>
        <v>3111</v>
      </c>
      <c r="AO27" s="291">
        <v>3111</v>
      </c>
      <c r="AR27" s="47">
        <f>U27+AB27-AJ27</f>
        <v>5500000</v>
      </c>
      <c r="AS27" s="54"/>
      <c r="AT27" s="55"/>
      <c r="AU27" s="56"/>
      <c r="AV27" s="57" t="e">
        <f>#REF!-#REF!</f>
        <v>#REF!</v>
      </c>
    </row>
    <row r="28" spans="1:48" ht="25.5" customHeight="1" outlineLevel="2" thickBot="1">
      <c r="A28" s="291">
        <v>3112</v>
      </c>
      <c r="B28" s="482" t="s">
        <v>4513</v>
      </c>
      <c r="C28" s="458" t="s">
        <v>4449</v>
      </c>
      <c r="D28" s="291">
        <v>3112</v>
      </c>
      <c r="E28" s="407" t="s">
        <v>4514</v>
      </c>
      <c r="F28" s="428" t="s">
        <v>4503</v>
      </c>
      <c r="G28" s="409"/>
      <c r="H28" s="483" t="s">
        <v>5447</v>
      </c>
      <c r="I28" s="411">
        <v>31</v>
      </c>
      <c r="J28" s="459" t="s">
        <v>4450</v>
      </c>
      <c r="K28" s="460">
        <v>33</v>
      </c>
      <c r="L28" s="413">
        <v>44440</v>
      </c>
      <c r="M28" s="464" t="s">
        <v>13</v>
      </c>
      <c r="N28" s="415">
        <v>44286</v>
      </c>
      <c r="O28" s="280">
        <v>4000000</v>
      </c>
      <c r="P28" s="465">
        <v>1500000</v>
      </c>
      <c r="Q28" s="263">
        <f>R28+S28</f>
        <v>1500000</v>
      </c>
      <c r="R28" s="284"/>
      <c r="S28" s="59">
        <v>1500000</v>
      </c>
      <c r="T28" s="466">
        <v>1500000</v>
      </c>
      <c r="U28" s="418">
        <v>1500000</v>
      </c>
      <c r="V28" s="43"/>
      <c r="W28" s="44"/>
      <c r="X28" s="58" t="s">
        <v>4506</v>
      </c>
      <c r="Y28" s="46"/>
      <c r="Z28" s="46"/>
      <c r="AA28" s="47">
        <f>AB28+R28</f>
        <v>1500000</v>
      </c>
      <c r="AB28" s="48">
        <f t="shared" si="10"/>
        <v>1500000</v>
      </c>
      <c r="AC28" s="265"/>
      <c r="AD28" s="424">
        <f t="shared" si="11"/>
        <v>1500000</v>
      </c>
      <c r="AE28" s="49"/>
      <c r="AF28" s="50"/>
      <c r="AG28" s="50"/>
      <c r="AH28" s="76"/>
      <c r="AI28" s="77"/>
      <c r="AJ28" s="52">
        <f t="shared" si="12"/>
        <v>1500000</v>
      </c>
      <c r="AK28" s="462"/>
      <c r="AL28" s="484" t="s">
        <v>5448</v>
      </c>
      <c r="AM28" s="308" t="str">
        <f t="shared" si="9"/>
        <v>3112</v>
      </c>
      <c r="AN28" s="369" t="str">
        <f t="shared" si="1"/>
        <v>3112</v>
      </c>
      <c r="AO28" s="291">
        <v>3112</v>
      </c>
      <c r="AR28" s="47">
        <f>U28+AB28-AJ28</f>
        <v>1500000</v>
      </c>
      <c r="AS28" s="54"/>
      <c r="AT28" s="55"/>
      <c r="AU28" s="56"/>
      <c r="AV28" s="57" t="e">
        <f>#REF!-#REF!</f>
        <v>#REF!</v>
      </c>
    </row>
    <row r="29" spans="1:48" ht="25.5" customHeight="1" outlineLevel="2" thickBot="1">
      <c r="A29" s="291">
        <v>3113</v>
      </c>
      <c r="B29" s="482" t="s">
        <v>4513</v>
      </c>
      <c r="C29" s="458" t="s">
        <v>4449</v>
      </c>
      <c r="D29" s="291">
        <v>3113</v>
      </c>
      <c r="E29" s="407" t="s">
        <v>4514</v>
      </c>
      <c r="F29" s="428" t="s">
        <v>4503</v>
      </c>
      <c r="G29" s="409"/>
      <c r="H29" s="268" t="s">
        <v>5449</v>
      </c>
      <c r="I29" s="411">
        <v>31</v>
      </c>
      <c r="J29" s="459" t="s">
        <v>4532</v>
      </c>
      <c r="K29" s="437"/>
      <c r="L29" s="413">
        <v>44287</v>
      </c>
      <c r="M29" s="464" t="s">
        <v>13</v>
      </c>
      <c r="N29" s="415">
        <v>44286</v>
      </c>
      <c r="O29" s="280">
        <v>3300000</v>
      </c>
      <c r="P29" s="465">
        <v>3500000</v>
      </c>
      <c r="Q29" s="263">
        <f t="shared" si="4"/>
        <v>3500000</v>
      </c>
      <c r="R29" s="284"/>
      <c r="S29" s="285">
        <v>3500000</v>
      </c>
      <c r="T29" s="466">
        <v>3500000</v>
      </c>
      <c r="U29" s="418">
        <v>3500000</v>
      </c>
      <c r="V29" s="43"/>
      <c r="W29" s="44"/>
      <c r="X29" s="78" t="s">
        <v>5450</v>
      </c>
      <c r="Y29" s="46"/>
      <c r="Z29" s="46"/>
      <c r="AA29" s="47">
        <f>AB29+R29</f>
        <v>3500000</v>
      </c>
      <c r="AB29" s="48">
        <f>SUM(AE29:AI29)</f>
        <v>3500000</v>
      </c>
      <c r="AC29" s="265"/>
      <c r="AD29" s="424">
        <f>SUM(AE29:AJ29)-AI29</f>
        <v>3500000</v>
      </c>
      <c r="AE29" s="49"/>
      <c r="AF29" s="50"/>
      <c r="AG29" s="50"/>
      <c r="AH29" s="76"/>
      <c r="AI29" s="269">
        <f>+AJ29</f>
        <v>3500000</v>
      </c>
      <c r="AJ29" s="270">
        <f t="shared" si="12"/>
        <v>3500000</v>
      </c>
      <c r="AK29" s="462"/>
      <c r="AL29" s="484"/>
      <c r="AM29" s="308" t="str">
        <f t="shared" si="9"/>
        <v>3113</v>
      </c>
      <c r="AN29" s="369" t="str">
        <f t="shared" si="1"/>
        <v>3113</v>
      </c>
      <c r="AO29" s="291">
        <v>3113</v>
      </c>
      <c r="AR29" s="47">
        <f>U29+AB29-AJ29</f>
        <v>3500000</v>
      </c>
      <c r="AS29" s="54"/>
      <c r="AT29" s="55"/>
      <c r="AU29" s="56"/>
      <c r="AV29" s="57" t="e">
        <f>#REF!-#REF!</f>
        <v>#REF!</v>
      </c>
    </row>
    <row r="30" spans="1:48" s="470" customFormat="1" ht="21" customHeight="1" outlineLevel="2">
      <c r="A30" s="463" t="s">
        <v>4454</v>
      </c>
      <c r="B30" s="485"/>
      <c r="C30" s="472" t="s">
        <v>4501</v>
      </c>
      <c r="D30" s="463" t="s">
        <v>4454</v>
      </c>
      <c r="E30" s="473"/>
      <c r="F30" s="474" t="s">
        <v>4503</v>
      </c>
      <c r="G30" s="475"/>
      <c r="H30" s="486"/>
      <c r="I30" s="476"/>
      <c r="J30" s="477"/>
      <c r="K30" s="437"/>
      <c r="L30" s="487"/>
      <c r="M30" s="464" t="s">
        <v>13</v>
      </c>
      <c r="N30" s="488"/>
      <c r="O30" s="280">
        <v>0</v>
      </c>
      <c r="P30" s="465"/>
      <c r="Q30" s="263">
        <f t="shared" si="4"/>
        <v>0</v>
      </c>
      <c r="R30" s="278"/>
      <c r="S30" s="279"/>
      <c r="T30" s="466"/>
      <c r="U30" s="418">
        <v>0</v>
      </c>
      <c r="V30" s="61"/>
      <c r="W30" s="68"/>
      <c r="X30" s="79"/>
      <c r="Y30" s="70"/>
      <c r="Z30" s="70"/>
      <c r="AA30" s="47">
        <f>AB30-AJ30+P30</f>
        <v>0</v>
      </c>
      <c r="AB30" s="72">
        <f>SUM(AE30:AI30)+AJ30</f>
        <v>0</v>
      </c>
      <c r="AC30" s="267"/>
      <c r="AD30" s="424">
        <f>SUM(AE30:AJ30)</f>
        <v>0</v>
      </c>
      <c r="AE30" s="62"/>
      <c r="AF30" s="73"/>
      <c r="AG30" s="73"/>
      <c r="AH30" s="73"/>
      <c r="AI30" s="74"/>
      <c r="AJ30" s="52">
        <f t="shared" si="12"/>
        <v>0</v>
      </c>
      <c r="AK30" s="467"/>
      <c r="AL30" s="489"/>
      <c r="AM30" s="468" t="str">
        <f t="shared" si="9"/>
        <v/>
      </c>
      <c r="AN30" s="469" t="str">
        <f t="shared" si="1"/>
        <v/>
      </c>
      <c r="AO30" s="463" t="s">
        <v>4454</v>
      </c>
      <c r="AP30" s="463"/>
      <c r="AR30" s="63"/>
      <c r="AS30" s="64"/>
      <c r="AT30" s="65"/>
      <c r="AU30" s="66"/>
      <c r="AV30" s="67" t="e">
        <f>#REF!-#REF!</f>
        <v>#REF!</v>
      </c>
    </row>
    <row r="31" spans="1:48" ht="25.5" customHeight="1" outlineLevel="2" thickBot="1">
      <c r="A31" s="291">
        <v>1582</v>
      </c>
      <c r="B31" s="490" t="s">
        <v>4500</v>
      </c>
      <c r="C31" s="491" t="s">
        <v>4449</v>
      </c>
      <c r="D31" s="291">
        <v>1582</v>
      </c>
      <c r="E31" s="492" t="s">
        <v>4553</v>
      </c>
      <c r="F31" s="493" t="s">
        <v>4503</v>
      </c>
      <c r="G31" s="494"/>
      <c r="H31" s="495" t="s">
        <v>5451</v>
      </c>
      <c r="I31" s="496">
        <v>15</v>
      </c>
      <c r="J31" s="497" t="s">
        <v>5452</v>
      </c>
      <c r="K31" s="498"/>
      <c r="L31" s="499">
        <v>44287</v>
      </c>
      <c r="M31" s="464" t="s">
        <v>13</v>
      </c>
      <c r="N31" s="500">
        <v>44286</v>
      </c>
      <c r="O31" s="501">
        <v>500000</v>
      </c>
      <c r="P31" s="502">
        <v>512000</v>
      </c>
      <c r="Q31" s="263">
        <f t="shared" si="4"/>
        <v>500000</v>
      </c>
      <c r="R31" s="503">
        <v>500000</v>
      </c>
      <c r="S31" s="504"/>
      <c r="T31" s="466">
        <v>512000</v>
      </c>
      <c r="U31" s="418">
        <v>500000</v>
      </c>
      <c r="V31" s="80"/>
      <c r="W31" s="81"/>
      <c r="X31" s="45">
        <v>43200</v>
      </c>
      <c r="Y31" s="82"/>
      <c r="Z31" s="82"/>
      <c r="AA31" s="47">
        <f>AB31+R31</f>
        <v>500000</v>
      </c>
      <c r="AB31" s="48">
        <f>SUM(AE31:AI31)+AJ31</f>
        <v>0</v>
      </c>
      <c r="AC31" s="271"/>
      <c r="AD31" s="424">
        <f>SUM(AE31:AJ31)</f>
        <v>0</v>
      </c>
      <c r="AE31" s="83"/>
      <c r="AF31" s="84"/>
      <c r="AG31" s="84"/>
      <c r="AH31" s="84"/>
      <c r="AI31" s="85"/>
      <c r="AJ31" s="52">
        <f t="shared" si="12"/>
        <v>0</v>
      </c>
      <c r="AK31" s="505">
        <v>187000</v>
      </c>
      <c r="AL31" s="506"/>
      <c r="AM31" s="308" t="str">
        <f t="shared" si="9"/>
        <v>1582</v>
      </c>
      <c r="AN31" s="369" t="str">
        <f t="shared" si="1"/>
        <v>1582</v>
      </c>
      <c r="AO31" s="291">
        <v>1582</v>
      </c>
      <c r="AR31" s="47">
        <f>U31+AB31</f>
        <v>500000</v>
      </c>
      <c r="AS31" s="87"/>
      <c r="AT31" s="88"/>
      <c r="AU31" s="89"/>
      <c r="AV31" s="90" t="e">
        <f>#REF!-#REF!</f>
        <v>#REF!</v>
      </c>
    </row>
    <row r="32" spans="1:48" ht="25.5" customHeight="1" outlineLevel="1" thickBot="1">
      <c r="B32" s="507"/>
      <c r="C32" s="508" t="s">
        <v>4501</v>
      </c>
      <c r="E32" s="509"/>
      <c r="F32" s="510" t="s">
        <v>4516</v>
      </c>
      <c r="G32" s="511"/>
      <c r="H32" s="512" t="s">
        <v>5200</v>
      </c>
      <c r="I32" s="513"/>
      <c r="J32" s="514"/>
      <c r="K32" s="515"/>
      <c r="L32" s="516"/>
      <c r="M32" s="517"/>
      <c r="N32" s="518"/>
      <c r="O32" s="519">
        <f>SUM(O17:O31)</f>
        <v>20900000</v>
      </c>
      <c r="P32" s="520">
        <f>SUM(P17:P31)</f>
        <v>17932000</v>
      </c>
      <c r="Q32" s="521">
        <f>SUBTOTAL(9,Q6:Q31)</f>
        <v>29438000</v>
      </c>
      <c r="R32" s="522">
        <f>SUBTOTAL(9,R6:R31)-SUM(R6:R15)</f>
        <v>740000</v>
      </c>
      <c r="S32" s="523">
        <f>SUBTOTAL(9,S6:S31)</f>
        <v>18460000</v>
      </c>
      <c r="T32" s="524">
        <v>17932000</v>
      </c>
      <c r="U32" s="525">
        <v>17490000</v>
      </c>
      <c r="V32" s="94"/>
      <c r="W32" s="95"/>
      <c r="X32" s="96"/>
      <c r="Y32" s="97"/>
      <c r="Z32" s="97"/>
      <c r="AA32" s="98">
        <f>SUBTOTAL(9,AA6:AA31)</f>
        <v>42809000</v>
      </c>
      <c r="AB32" s="176">
        <f>SUBTOTAL(9,AB6:AB31)</f>
        <v>46569000</v>
      </c>
      <c r="AC32" s="273"/>
      <c r="AD32" s="526">
        <f>SUM(AE32:AJ32)</f>
        <v>48469000</v>
      </c>
      <c r="AE32" s="100">
        <f>SUBTOTAL(9,AE6:AE31)</f>
        <v>24789000</v>
      </c>
      <c r="AF32" s="101">
        <f>SUBTOTAL(9,AF6:AF31)</f>
        <v>0</v>
      </c>
      <c r="AG32" s="101">
        <f>SUBTOTAL(9,AG6:AG31)</f>
        <v>0</v>
      </c>
      <c r="AH32" s="101">
        <f>SUBTOTAL(9,AH6:AH31)</f>
        <v>0</v>
      </c>
      <c r="AI32" s="102">
        <f>SUBTOTAL(9,AI6:AI31)</f>
        <v>6820000</v>
      </c>
      <c r="AJ32" s="103">
        <f>SUBTOTAL(9,AJ17:AJ31)</f>
        <v>16860000</v>
      </c>
      <c r="AK32" s="527">
        <f>SUBTOTAL(9,AK6:AK31)</f>
        <v>4036000</v>
      </c>
      <c r="AL32" s="528">
        <f>Q32</f>
        <v>29438000</v>
      </c>
      <c r="AM32" s="308" t="str">
        <f t="shared" si="9"/>
        <v/>
      </c>
      <c r="AN32" s="369"/>
      <c r="AR32" s="106">
        <f>SUBTOTAL(9,AR6:AR31)</f>
        <v>48140000</v>
      </c>
      <c r="AS32" s="107"/>
      <c r="AT32" s="108" t="e">
        <f>SUBTOTAL(9,#REF!)</f>
        <v>#REF!</v>
      </c>
      <c r="AU32" s="109"/>
      <c r="AV32" s="110" t="e">
        <f>SUBTOTAL(9,AV6:AV31)</f>
        <v>#REF!</v>
      </c>
    </row>
    <row r="33" spans="1:48" ht="25.5" customHeight="1" outlineLevel="2">
      <c r="A33" s="291">
        <v>1221</v>
      </c>
      <c r="B33" s="529" t="s">
        <v>4500</v>
      </c>
      <c r="C33" s="530" t="s">
        <v>4517</v>
      </c>
      <c r="D33" s="291">
        <v>1221</v>
      </c>
      <c r="E33" s="531" t="s">
        <v>4518</v>
      </c>
      <c r="F33" s="532" t="s">
        <v>4519</v>
      </c>
      <c r="G33" s="533"/>
      <c r="H33" s="534" t="s">
        <v>5453</v>
      </c>
      <c r="I33" s="535">
        <v>12</v>
      </c>
      <c r="J33" s="536" t="s">
        <v>4507</v>
      </c>
      <c r="K33" s="537"/>
      <c r="L33" s="413">
        <v>44287</v>
      </c>
      <c r="M33" s="464" t="s">
        <v>13</v>
      </c>
      <c r="N33" s="415">
        <v>44286</v>
      </c>
      <c r="O33" s="280">
        <v>650000</v>
      </c>
      <c r="P33" s="465">
        <v>650000</v>
      </c>
      <c r="Q33" s="263">
        <f>R33+S33</f>
        <v>650000</v>
      </c>
      <c r="R33" s="538">
        <v>650000</v>
      </c>
      <c r="S33" s="539"/>
      <c r="T33" s="466">
        <v>650000</v>
      </c>
      <c r="U33" s="418">
        <v>650000</v>
      </c>
      <c r="V33" s="112"/>
      <c r="W33" s="113"/>
      <c r="X33" s="114">
        <v>43200</v>
      </c>
      <c r="Y33" s="115"/>
      <c r="Z33" s="115"/>
      <c r="AA33" s="47">
        <f>Q33+AB33</f>
        <v>650000</v>
      </c>
      <c r="AB33" s="117">
        <f>SUM(AE33:AI33)</f>
        <v>0</v>
      </c>
      <c r="AC33" s="274"/>
      <c r="AD33" s="424">
        <f t="shared" ref="AD33:AD49" si="13">SUM(AE33:AJ33)-AJ33</f>
        <v>0</v>
      </c>
      <c r="AE33" s="118"/>
      <c r="AF33" s="119"/>
      <c r="AG33" s="119"/>
      <c r="AH33" s="119"/>
      <c r="AI33" s="120"/>
      <c r="AJ33" s="52">
        <f>+S33</f>
        <v>0</v>
      </c>
      <c r="AK33" s="540"/>
      <c r="AL33" s="122"/>
      <c r="AM33" s="308" t="str">
        <f t="shared" si="9"/>
        <v>1221</v>
      </c>
      <c r="AN33" s="369" t="str">
        <f t="shared" ref="AN33:AN64" si="14">I33&amp;J33</f>
        <v>1221</v>
      </c>
      <c r="AO33" s="291">
        <v>1221</v>
      </c>
      <c r="AR33" s="47">
        <f>U33+AB33</f>
        <v>650000</v>
      </c>
      <c r="AS33" s="123"/>
      <c r="AT33" s="124"/>
      <c r="AU33" s="125"/>
      <c r="AV33" s="126" t="e">
        <f>#REF!-#REF!</f>
        <v>#REF!</v>
      </c>
    </row>
    <row r="34" spans="1:48" ht="25.5" customHeight="1" outlineLevel="2">
      <c r="A34" s="291">
        <v>1222</v>
      </c>
      <c r="B34" s="337" t="s">
        <v>4500</v>
      </c>
      <c r="C34" s="458" t="s">
        <v>4458</v>
      </c>
      <c r="D34" s="291">
        <v>1222</v>
      </c>
      <c r="E34" s="407" t="s">
        <v>4518</v>
      </c>
      <c r="F34" s="428" t="s">
        <v>4519</v>
      </c>
      <c r="G34" s="409"/>
      <c r="H34" s="410" t="s">
        <v>5454</v>
      </c>
      <c r="I34" s="411">
        <v>12</v>
      </c>
      <c r="J34" s="459" t="s">
        <v>4508</v>
      </c>
      <c r="K34" s="460">
        <v>35</v>
      </c>
      <c r="L34" s="413">
        <v>44287</v>
      </c>
      <c r="M34" s="464" t="s">
        <v>13</v>
      </c>
      <c r="N34" s="415">
        <v>44286</v>
      </c>
      <c r="O34" s="280">
        <v>2700000</v>
      </c>
      <c r="P34" s="465">
        <v>1900000</v>
      </c>
      <c r="Q34" s="263">
        <f t="shared" ref="Q34:Q49" si="15">R34+S34</f>
        <v>1900000</v>
      </c>
      <c r="R34" s="284"/>
      <c r="S34" s="59">
        <v>1900000</v>
      </c>
      <c r="T34" s="466">
        <v>1900000</v>
      </c>
      <c r="U34" s="418">
        <v>2700000</v>
      </c>
      <c r="V34" s="43"/>
      <c r="W34" s="44"/>
      <c r="X34" s="58" t="s">
        <v>4506</v>
      </c>
      <c r="Y34" s="46"/>
      <c r="Z34" s="46"/>
      <c r="AA34" s="47">
        <f>AB34-AJ34+P34</f>
        <v>1970000</v>
      </c>
      <c r="AB34" s="48">
        <f>SUM(AE34:AI34)+AJ34</f>
        <v>1970000</v>
      </c>
      <c r="AC34" s="265"/>
      <c r="AD34" s="424">
        <f t="shared" si="13"/>
        <v>70000</v>
      </c>
      <c r="AE34" s="49">
        <v>70000</v>
      </c>
      <c r="AF34" s="50"/>
      <c r="AG34" s="50"/>
      <c r="AH34" s="50"/>
      <c r="AI34" s="51"/>
      <c r="AJ34" s="52">
        <f>+S34</f>
        <v>1900000</v>
      </c>
      <c r="AK34" s="462"/>
      <c r="AL34" s="396" t="s">
        <v>5439</v>
      </c>
      <c r="AM34" s="308" t="str">
        <f t="shared" si="9"/>
        <v>1222</v>
      </c>
      <c r="AN34" s="369" t="str">
        <f t="shared" si="14"/>
        <v>1222</v>
      </c>
      <c r="AO34" s="291">
        <v>1222</v>
      </c>
      <c r="AR34" s="47">
        <f t="shared" ref="AR34:AR43" si="16">U34+AB34-AJ34</f>
        <v>2770000</v>
      </c>
      <c r="AS34" s="54"/>
      <c r="AT34" s="55"/>
      <c r="AU34" s="56"/>
      <c r="AV34" s="57" t="e">
        <f>#REF!-#REF!</f>
        <v>#REF!</v>
      </c>
    </row>
    <row r="35" spans="1:48" ht="25.5" customHeight="1" outlineLevel="2">
      <c r="A35" s="291">
        <v>1223</v>
      </c>
      <c r="B35" s="337" t="s">
        <v>4500</v>
      </c>
      <c r="C35" s="458" t="s">
        <v>4458</v>
      </c>
      <c r="D35" s="291">
        <v>1223</v>
      </c>
      <c r="E35" s="407" t="s">
        <v>4518</v>
      </c>
      <c r="F35" s="428" t="s">
        <v>4519</v>
      </c>
      <c r="G35" s="409"/>
      <c r="H35" s="410" t="s">
        <v>5455</v>
      </c>
      <c r="I35" s="411">
        <v>12</v>
      </c>
      <c r="J35" s="459" t="s">
        <v>4509</v>
      </c>
      <c r="K35" s="460">
        <v>36</v>
      </c>
      <c r="L35" s="413">
        <v>44287</v>
      </c>
      <c r="M35" s="464" t="s">
        <v>13</v>
      </c>
      <c r="N35" s="415">
        <v>44286</v>
      </c>
      <c r="O35" s="280">
        <v>600000</v>
      </c>
      <c r="P35" s="465">
        <v>600000</v>
      </c>
      <c r="Q35" s="263">
        <f t="shared" si="15"/>
        <v>600000</v>
      </c>
      <c r="R35" s="284">
        <v>100000</v>
      </c>
      <c r="S35" s="59">
        <v>500000</v>
      </c>
      <c r="T35" s="466">
        <v>600000</v>
      </c>
      <c r="U35" s="418">
        <v>600000</v>
      </c>
      <c r="V35" s="43"/>
      <c r="W35" s="44"/>
      <c r="X35" s="58" t="s">
        <v>4506</v>
      </c>
      <c r="Y35" s="46"/>
      <c r="Z35" s="46"/>
      <c r="AA35" s="47">
        <f>AB35-AJ35+P35</f>
        <v>600000</v>
      </c>
      <c r="AB35" s="48">
        <f>SUM(AE35:AJ35)</f>
        <v>500000</v>
      </c>
      <c r="AC35" s="265"/>
      <c r="AD35" s="424">
        <f t="shared" si="13"/>
        <v>0</v>
      </c>
      <c r="AE35" s="49"/>
      <c r="AF35" s="50"/>
      <c r="AG35" s="50"/>
      <c r="AH35" s="50"/>
      <c r="AI35" s="51"/>
      <c r="AJ35" s="52">
        <f>+S35</f>
        <v>500000</v>
      </c>
      <c r="AK35" s="462">
        <v>10000</v>
      </c>
      <c r="AL35" s="396" t="s">
        <v>5456</v>
      </c>
      <c r="AM35" s="308" t="str">
        <f t="shared" si="9"/>
        <v>1223</v>
      </c>
      <c r="AN35" s="369" t="str">
        <f t="shared" si="14"/>
        <v>1223</v>
      </c>
      <c r="AO35" s="291">
        <v>1223</v>
      </c>
      <c r="AR35" s="47">
        <f t="shared" si="16"/>
        <v>600000</v>
      </c>
      <c r="AS35" s="54"/>
      <c r="AT35" s="55"/>
      <c r="AU35" s="56"/>
      <c r="AV35" s="57" t="e">
        <f>#REF!-#REF!</f>
        <v>#REF!</v>
      </c>
    </row>
    <row r="36" spans="1:48" ht="25.5" customHeight="1" outlineLevel="2">
      <c r="A36" s="291">
        <v>1224</v>
      </c>
      <c r="B36" s="337" t="s">
        <v>4500</v>
      </c>
      <c r="C36" s="458" t="s">
        <v>4458</v>
      </c>
      <c r="D36" s="291">
        <v>1224</v>
      </c>
      <c r="E36" s="407" t="s">
        <v>4518</v>
      </c>
      <c r="F36" s="428" t="s">
        <v>4519</v>
      </c>
      <c r="G36" s="409"/>
      <c r="H36" s="429" t="s">
        <v>5457</v>
      </c>
      <c r="I36" s="411">
        <v>12</v>
      </c>
      <c r="J36" s="459" t="s">
        <v>4521</v>
      </c>
      <c r="K36" s="437"/>
      <c r="L36" s="413">
        <v>44287</v>
      </c>
      <c r="M36" s="464" t="s">
        <v>13</v>
      </c>
      <c r="N36" s="415">
        <v>44286</v>
      </c>
      <c r="O36" s="280">
        <v>250000</v>
      </c>
      <c r="P36" s="465"/>
      <c r="Q36" s="263">
        <f t="shared" si="15"/>
        <v>250000</v>
      </c>
      <c r="R36" s="284">
        <v>250000</v>
      </c>
      <c r="S36" s="285"/>
      <c r="T36" s="466">
        <v>390000</v>
      </c>
      <c r="U36" s="418">
        <v>250000</v>
      </c>
      <c r="V36" s="43"/>
      <c r="W36" s="44"/>
      <c r="X36" s="45">
        <v>43200</v>
      </c>
      <c r="Y36" s="46"/>
      <c r="Z36" s="46"/>
      <c r="AA36" s="47">
        <f>AB36+R36</f>
        <v>250000</v>
      </c>
      <c r="AB36" s="48">
        <f>SUM(AE36:AJ36)-AJ36</f>
        <v>0</v>
      </c>
      <c r="AC36" s="265"/>
      <c r="AD36" s="424">
        <f t="shared" si="13"/>
        <v>0</v>
      </c>
      <c r="AE36" s="49"/>
      <c r="AF36" s="50"/>
      <c r="AG36" s="50"/>
      <c r="AH36" s="50"/>
      <c r="AI36" s="51"/>
      <c r="AJ36" s="52"/>
      <c r="AK36" s="462"/>
      <c r="AL36" s="442" t="s">
        <v>4520</v>
      </c>
      <c r="AM36" s="308" t="str">
        <f t="shared" si="9"/>
        <v>1224</v>
      </c>
      <c r="AN36" s="369" t="str">
        <f t="shared" si="14"/>
        <v>1224</v>
      </c>
      <c r="AO36" s="291">
        <v>1224</v>
      </c>
      <c r="AR36" s="127">
        <f t="shared" si="16"/>
        <v>250000</v>
      </c>
      <c r="AS36" s="54"/>
      <c r="AT36" s="55"/>
      <c r="AU36" s="56"/>
      <c r="AV36" s="57" t="e">
        <f>#REF!-#REF!</f>
        <v>#REF!</v>
      </c>
    </row>
    <row r="37" spans="1:48" ht="25.5" customHeight="1" outlineLevel="2">
      <c r="A37" s="291">
        <v>1225</v>
      </c>
      <c r="B37" s="337" t="s">
        <v>4500</v>
      </c>
      <c r="C37" s="458" t="s">
        <v>4458</v>
      </c>
      <c r="D37" s="291">
        <v>1225</v>
      </c>
      <c r="E37" s="407" t="s">
        <v>4518</v>
      </c>
      <c r="F37" s="428" t="s">
        <v>4519</v>
      </c>
      <c r="G37" s="409"/>
      <c r="H37" s="410" t="s">
        <v>5458</v>
      </c>
      <c r="I37" s="411">
        <v>12</v>
      </c>
      <c r="J37" s="459" t="s">
        <v>4599</v>
      </c>
      <c r="K37" s="460">
        <v>37</v>
      </c>
      <c r="L37" s="413">
        <v>44287</v>
      </c>
      <c r="M37" s="464" t="s">
        <v>13</v>
      </c>
      <c r="N37" s="415">
        <v>44286</v>
      </c>
      <c r="O37" s="280">
        <v>130000</v>
      </c>
      <c r="P37" s="465">
        <v>630000</v>
      </c>
      <c r="Q37" s="263">
        <f t="shared" si="15"/>
        <v>630000</v>
      </c>
      <c r="R37" s="284"/>
      <c r="S37" s="59">
        <v>630000</v>
      </c>
      <c r="T37" s="466">
        <v>630000</v>
      </c>
      <c r="U37" s="418">
        <v>130000</v>
      </c>
      <c r="V37" s="43"/>
      <c r="W37" s="44"/>
      <c r="X37" s="58" t="s">
        <v>4506</v>
      </c>
      <c r="Y37" s="46"/>
      <c r="Z37" s="46"/>
      <c r="AA37" s="47">
        <f>AB37+R37</f>
        <v>630000</v>
      </c>
      <c r="AB37" s="48">
        <f>SUM(AE37:AJ37)</f>
        <v>630000</v>
      </c>
      <c r="AC37" s="265"/>
      <c r="AD37" s="424">
        <f t="shared" si="13"/>
        <v>0</v>
      </c>
      <c r="AE37" s="49"/>
      <c r="AF37" s="50"/>
      <c r="AG37" s="50"/>
      <c r="AH37" s="50"/>
      <c r="AI37" s="51"/>
      <c r="AJ37" s="52">
        <f t="shared" ref="AJ37:AJ49" si="17">+S37</f>
        <v>630000</v>
      </c>
      <c r="AK37" s="462"/>
      <c r="AL37" s="442"/>
      <c r="AM37" s="308" t="str">
        <f t="shared" si="9"/>
        <v>1225</v>
      </c>
      <c r="AN37" s="369" t="str">
        <f t="shared" si="14"/>
        <v>1225</v>
      </c>
      <c r="AO37" s="291">
        <v>1225</v>
      </c>
      <c r="AR37" s="127">
        <f t="shared" si="16"/>
        <v>130000</v>
      </c>
      <c r="AS37" s="54"/>
      <c r="AT37" s="55"/>
      <c r="AU37" s="56"/>
      <c r="AV37" s="57" t="e">
        <f>#REF!-#REF!</f>
        <v>#REF!</v>
      </c>
    </row>
    <row r="38" spans="1:48" ht="25.5" customHeight="1" outlineLevel="2">
      <c r="A38" s="291">
        <v>1226</v>
      </c>
      <c r="B38" s="337" t="s">
        <v>4500</v>
      </c>
      <c r="C38" s="406" t="s">
        <v>4458</v>
      </c>
      <c r="D38" s="291">
        <v>1226</v>
      </c>
      <c r="E38" s="407" t="s">
        <v>4518</v>
      </c>
      <c r="F38" s="428" t="s">
        <v>4519</v>
      </c>
      <c r="G38" s="409"/>
      <c r="H38" s="483" t="s">
        <v>5459</v>
      </c>
      <c r="I38" s="411">
        <v>12</v>
      </c>
      <c r="J38" s="459" t="s">
        <v>4600</v>
      </c>
      <c r="K38" s="460">
        <v>5</v>
      </c>
      <c r="L38" s="413">
        <v>44287</v>
      </c>
      <c r="M38" s="464" t="s">
        <v>13</v>
      </c>
      <c r="N38" s="415">
        <v>44286</v>
      </c>
      <c r="O38" s="280">
        <v>200000</v>
      </c>
      <c r="P38" s="465">
        <v>200000</v>
      </c>
      <c r="Q38" s="263">
        <f>R38+S38</f>
        <v>200000</v>
      </c>
      <c r="R38" s="284"/>
      <c r="S38" s="59">
        <v>200000</v>
      </c>
      <c r="T38" s="466">
        <v>200000</v>
      </c>
      <c r="U38" s="418">
        <v>200000</v>
      </c>
      <c r="V38" s="43"/>
      <c r="W38" s="44"/>
      <c r="X38" s="58" t="s">
        <v>4506</v>
      </c>
      <c r="Y38" s="128"/>
      <c r="Z38" s="46"/>
      <c r="AA38" s="47">
        <f t="shared" ref="AA38:AA44" si="18">Q38+AB38-AJ38</f>
        <v>200000</v>
      </c>
      <c r="AB38" s="48">
        <f t="shared" ref="AB38:AB44" si="19">SUM(AE38:AI38)+AJ38</f>
        <v>200000</v>
      </c>
      <c r="AC38" s="265"/>
      <c r="AD38" s="424">
        <f t="shared" si="13"/>
        <v>0</v>
      </c>
      <c r="AE38" s="49"/>
      <c r="AF38" s="50"/>
      <c r="AG38" s="50"/>
      <c r="AH38" s="50"/>
      <c r="AI38" s="51"/>
      <c r="AJ38" s="52">
        <f t="shared" si="17"/>
        <v>200000</v>
      </c>
      <c r="AK38" s="462"/>
      <c r="AL38" s="396" t="s">
        <v>5460</v>
      </c>
      <c r="AM38" s="308" t="str">
        <f t="shared" si="9"/>
        <v>1226</v>
      </c>
      <c r="AN38" s="369" t="str">
        <f t="shared" si="14"/>
        <v>1226</v>
      </c>
      <c r="AO38" s="291">
        <v>1226</v>
      </c>
      <c r="AR38" s="47">
        <f t="shared" si="16"/>
        <v>200000</v>
      </c>
      <c r="AS38" s="54"/>
      <c r="AT38" s="55"/>
      <c r="AU38" s="56"/>
      <c r="AV38" s="57" t="e">
        <f>#REF!-#REF!</f>
        <v>#REF!</v>
      </c>
    </row>
    <row r="39" spans="1:48" ht="25.5" customHeight="1" outlineLevel="2">
      <c r="A39" s="291">
        <v>1227</v>
      </c>
      <c r="B39" s="337" t="s">
        <v>4500</v>
      </c>
      <c r="C39" s="406" t="s">
        <v>4458</v>
      </c>
      <c r="D39" s="291">
        <v>1227</v>
      </c>
      <c r="E39" s="407" t="s">
        <v>4518</v>
      </c>
      <c r="F39" s="428" t="s">
        <v>4519</v>
      </c>
      <c r="G39" s="409"/>
      <c r="H39" s="483" t="s">
        <v>5461</v>
      </c>
      <c r="I39" s="411">
        <v>12</v>
      </c>
      <c r="J39" s="459" t="s">
        <v>4511</v>
      </c>
      <c r="K39" s="460">
        <v>6</v>
      </c>
      <c r="L39" s="413">
        <v>44287</v>
      </c>
      <c r="M39" s="464" t="s">
        <v>13</v>
      </c>
      <c r="N39" s="415">
        <v>44286</v>
      </c>
      <c r="O39" s="280">
        <v>80000</v>
      </c>
      <c r="P39" s="465">
        <v>80000</v>
      </c>
      <c r="Q39" s="263">
        <f>R39+S39</f>
        <v>80000</v>
      </c>
      <c r="R39" s="284"/>
      <c r="S39" s="59">
        <v>80000</v>
      </c>
      <c r="T39" s="466">
        <v>80000</v>
      </c>
      <c r="U39" s="418">
        <v>80000</v>
      </c>
      <c r="V39" s="43"/>
      <c r="W39" s="44"/>
      <c r="X39" s="58" t="s">
        <v>4506</v>
      </c>
      <c r="Y39" s="128"/>
      <c r="Z39" s="46"/>
      <c r="AA39" s="47">
        <f t="shared" si="18"/>
        <v>80000</v>
      </c>
      <c r="AB39" s="48">
        <f t="shared" si="19"/>
        <v>80000</v>
      </c>
      <c r="AC39" s="265"/>
      <c r="AD39" s="424">
        <f t="shared" si="13"/>
        <v>0</v>
      </c>
      <c r="AE39" s="49"/>
      <c r="AF39" s="50"/>
      <c r="AG39" s="50"/>
      <c r="AH39" s="50"/>
      <c r="AI39" s="135"/>
      <c r="AJ39" s="52">
        <f t="shared" si="17"/>
        <v>80000</v>
      </c>
      <c r="AK39" s="462"/>
      <c r="AL39" s="396" t="s">
        <v>5462</v>
      </c>
      <c r="AM39" s="308" t="str">
        <f t="shared" si="9"/>
        <v>1227</v>
      </c>
      <c r="AN39" s="369" t="str">
        <f t="shared" si="14"/>
        <v>1227</v>
      </c>
      <c r="AO39" s="291">
        <v>1227</v>
      </c>
      <c r="AR39" s="127">
        <f t="shared" si="16"/>
        <v>80000</v>
      </c>
      <c r="AS39" s="54"/>
      <c r="AT39" s="55"/>
      <c r="AU39" s="56"/>
      <c r="AV39" s="57" t="e">
        <f>#REF!-#REF!</f>
        <v>#REF!</v>
      </c>
    </row>
    <row r="40" spans="1:48" ht="25.5" customHeight="1" outlineLevel="2">
      <c r="A40" s="291">
        <v>1228</v>
      </c>
      <c r="B40" s="337" t="s">
        <v>4500</v>
      </c>
      <c r="C40" s="458" t="s">
        <v>4458</v>
      </c>
      <c r="D40" s="291">
        <v>1228</v>
      </c>
      <c r="E40" s="407" t="s">
        <v>4518</v>
      </c>
      <c r="F40" s="428" t="s">
        <v>4519</v>
      </c>
      <c r="G40" s="409"/>
      <c r="H40" s="429" t="s">
        <v>5463</v>
      </c>
      <c r="I40" s="411">
        <v>12</v>
      </c>
      <c r="J40" s="459" t="s">
        <v>5464</v>
      </c>
      <c r="K40" s="437"/>
      <c r="L40" s="413">
        <v>44470</v>
      </c>
      <c r="M40" s="464" t="s">
        <v>13</v>
      </c>
      <c r="N40" s="415">
        <v>44561</v>
      </c>
      <c r="O40" s="280">
        <v>130000</v>
      </c>
      <c r="P40" s="465">
        <v>630000</v>
      </c>
      <c r="Q40" s="263">
        <f t="shared" ref="Q40" si="20">R40+S40</f>
        <v>154000</v>
      </c>
      <c r="R40" s="284">
        <v>154000</v>
      </c>
      <c r="S40" s="285"/>
      <c r="T40" s="466"/>
      <c r="U40" s="418">
        <v>0</v>
      </c>
      <c r="V40" s="43"/>
      <c r="W40" s="44"/>
      <c r="X40" s="131">
        <f>+N40+14</f>
        <v>44575</v>
      </c>
      <c r="Y40" s="46"/>
      <c r="Z40" s="46"/>
      <c r="AA40" s="47">
        <f>AB40+R40</f>
        <v>154000</v>
      </c>
      <c r="AB40" s="48">
        <f>SUM(AE40:AH40)+AJ40</f>
        <v>0</v>
      </c>
      <c r="AC40" s="265"/>
      <c r="AD40" s="424">
        <f t="shared" ref="AD40" si="21">SUM(AE40:AJ40)-AJ40</f>
        <v>0</v>
      </c>
      <c r="AE40" s="49"/>
      <c r="AF40" s="50"/>
      <c r="AG40" s="50"/>
      <c r="AH40" s="76"/>
      <c r="AI40" s="541"/>
      <c r="AJ40" s="213">
        <f t="shared" si="17"/>
        <v>0</v>
      </c>
      <c r="AK40" s="462"/>
      <c r="AL40" s="442" t="s">
        <v>5465</v>
      </c>
      <c r="AM40" s="308" t="str">
        <f t="shared" si="9"/>
        <v>1228</v>
      </c>
      <c r="AN40" s="369" t="str">
        <f t="shared" si="14"/>
        <v>1228</v>
      </c>
      <c r="AO40" s="291">
        <v>1228</v>
      </c>
      <c r="AR40" s="127">
        <f t="shared" si="16"/>
        <v>0</v>
      </c>
      <c r="AS40" s="54"/>
      <c r="AT40" s="55"/>
      <c r="AU40" s="56"/>
      <c r="AV40" s="57" t="e">
        <f>#REF!-#REF!</f>
        <v>#REF!</v>
      </c>
    </row>
    <row r="41" spans="1:48" ht="25.5" customHeight="1" outlineLevel="2">
      <c r="A41" s="291">
        <v>1231</v>
      </c>
      <c r="B41" s="337" t="s">
        <v>4500</v>
      </c>
      <c r="C41" s="458" t="s">
        <v>4458</v>
      </c>
      <c r="D41" s="291">
        <v>1231</v>
      </c>
      <c r="E41" s="407" t="s">
        <v>4518</v>
      </c>
      <c r="F41" s="428" t="s">
        <v>4519</v>
      </c>
      <c r="G41" s="409"/>
      <c r="H41" s="410" t="s">
        <v>5201</v>
      </c>
      <c r="I41" s="411">
        <v>12</v>
      </c>
      <c r="J41" s="459" t="s">
        <v>4522</v>
      </c>
      <c r="K41" s="460">
        <v>38</v>
      </c>
      <c r="L41" s="413">
        <v>44287</v>
      </c>
      <c r="M41" s="464" t="s">
        <v>13</v>
      </c>
      <c r="N41" s="415">
        <v>44286</v>
      </c>
      <c r="O41" s="280">
        <v>650000</v>
      </c>
      <c r="P41" s="465">
        <v>950000</v>
      </c>
      <c r="Q41" s="263">
        <f t="shared" si="15"/>
        <v>950000</v>
      </c>
      <c r="R41" s="284"/>
      <c r="S41" s="59">
        <v>950000</v>
      </c>
      <c r="T41" s="466">
        <v>950000</v>
      </c>
      <c r="U41" s="418">
        <v>650000</v>
      </c>
      <c r="V41" s="43"/>
      <c r="W41" s="44"/>
      <c r="X41" s="58" t="s">
        <v>4506</v>
      </c>
      <c r="Y41" s="46"/>
      <c r="Z41" s="46"/>
      <c r="AA41" s="47">
        <f t="shared" si="18"/>
        <v>1020000</v>
      </c>
      <c r="AB41" s="48">
        <f t="shared" si="19"/>
        <v>1020000</v>
      </c>
      <c r="AC41" s="265"/>
      <c r="AD41" s="424">
        <f t="shared" si="13"/>
        <v>70000</v>
      </c>
      <c r="AE41" s="49">
        <v>70000</v>
      </c>
      <c r="AF41" s="50"/>
      <c r="AG41" s="50"/>
      <c r="AH41" s="50"/>
      <c r="AI41" s="204"/>
      <c r="AJ41" s="52">
        <f t="shared" si="17"/>
        <v>950000</v>
      </c>
      <c r="AK41" s="462">
        <v>120000</v>
      </c>
      <c r="AL41" s="396" t="s">
        <v>5439</v>
      </c>
      <c r="AM41" s="308" t="str">
        <f t="shared" si="9"/>
        <v>1231</v>
      </c>
      <c r="AN41" s="369" t="str">
        <f t="shared" si="14"/>
        <v>1231</v>
      </c>
      <c r="AO41" s="291">
        <v>1231</v>
      </c>
      <c r="AR41" s="47">
        <f t="shared" si="16"/>
        <v>720000</v>
      </c>
      <c r="AS41" s="54"/>
      <c r="AT41" s="55"/>
      <c r="AU41" s="56"/>
      <c r="AV41" s="57" t="e">
        <f>#REF!-#REF!</f>
        <v>#REF!</v>
      </c>
    </row>
    <row r="42" spans="1:48" ht="25.5" customHeight="1" outlineLevel="2">
      <c r="A42" s="291">
        <v>1232</v>
      </c>
      <c r="B42" s="337" t="s">
        <v>4500</v>
      </c>
      <c r="C42" s="458" t="s">
        <v>4458</v>
      </c>
      <c r="D42" s="291">
        <v>1232</v>
      </c>
      <c r="E42" s="407" t="s">
        <v>4518</v>
      </c>
      <c r="F42" s="428" t="s">
        <v>4519</v>
      </c>
      <c r="G42" s="409"/>
      <c r="H42" s="410" t="s">
        <v>5466</v>
      </c>
      <c r="I42" s="411">
        <v>12</v>
      </c>
      <c r="J42" s="459" t="s">
        <v>4523</v>
      </c>
      <c r="K42" s="460">
        <v>39</v>
      </c>
      <c r="L42" s="413">
        <v>44287</v>
      </c>
      <c r="M42" s="464" t="s">
        <v>13</v>
      </c>
      <c r="N42" s="415">
        <v>44286</v>
      </c>
      <c r="O42" s="280">
        <v>150000</v>
      </c>
      <c r="P42" s="465">
        <v>150000</v>
      </c>
      <c r="Q42" s="263">
        <f t="shared" si="15"/>
        <v>150000</v>
      </c>
      <c r="R42" s="284"/>
      <c r="S42" s="59">
        <v>150000</v>
      </c>
      <c r="T42" s="466">
        <v>150000</v>
      </c>
      <c r="U42" s="418">
        <v>150000</v>
      </c>
      <c r="V42" s="43"/>
      <c r="W42" s="44"/>
      <c r="X42" s="58" t="s">
        <v>4506</v>
      </c>
      <c r="Y42" s="128"/>
      <c r="Z42" s="46"/>
      <c r="AA42" s="47">
        <f t="shared" si="18"/>
        <v>150000</v>
      </c>
      <c r="AB42" s="48">
        <f t="shared" si="19"/>
        <v>150000</v>
      </c>
      <c r="AC42" s="265"/>
      <c r="AD42" s="424">
        <f t="shared" si="13"/>
        <v>0</v>
      </c>
      <c r="AE42" s="49"/>
      <c r="AF42" s="50"/>
      <c r="AG42" s="50"/>
      <c r="AH42" s="50"/>
      <c r="AI42" s="51"/>
      <c r="AJ42" s="52">
        <f t="shared" si="17"/>
        <v>150000</v>
      </c>
      <c r="AK42" s="462"/>
      <c r="AL42" s="396" t="s">
        <v>5439</v>
      </c>
      <c r="AM42" s="308" t="str">
        <f t="shared" si="9"/>
        <v>1232</v>
      </c>
      <c r="AN42" s="369" t="str">
        <f t="shared" si="14"/>
        <v>1232</v>
      </c>
      <c r="AO42" s="291">
        <v>1232</v>
      </c>
      <c r="AR42" s="47">
        <f t="shared" si="16"/>
        <v>150000</v>
      </c>
      <c r="AS42" s="54"/>
      <c r="AT42" s="55"/>
      <c r="AU42" s="56"/>
      <c r="AV42" s="57" t="e">
        <f>#REF!-#REF!</f>
        <v>#REF!</v>
      </c>
    </row>
    <row r="43" spans="1:48" ht="25.5" customHeight="1" outlineLevel="2">
      <c r="A43" s="291">
        <v>1233</v>
      </c>
      <c r="B43" s="337" t="s">
        <v>4500</v>
      </c>
      <c r="C43" s="458" t="s">
        <v>4458</v>
      </c>
      <c r="D43" s="291">
        <v>1233</v>
      </c>
      <c r="E43" s="407" t="s">
        <v>4518</v>
      </c>
      <c r="F43" s="428" t="s">
        <v>4519</v>
      </c>
      <c r="G43" s="409"/>
      <c r="H43" s="410" t="s">
        <v>5467</v>
      </c>
      <c r="I43" s="411">
        <v>12</v>
      </c>
      <c r="J43" s="459" t="s">
        <v>4524</v>
      </c>
      <c r="K43" s="460">
        <v>40</v>
      </c>
      <c r="L43" s="413">
        <v>44287</v>
      </c>
      <c r="M43" s="464" t="s">
        <v>13</v>
      </c>
      <c r="N43" s="415">
        <v>44286</v>
      </c>
      <c r="O43" s="280">
        <v>370000</v>
      </c>
      <c r="P43" s="465">
        <v>370000</v>
      </c>
      <c r="Q43" s="263">
        <f t="shared" si="15"/>
        <v>370000</v>
      </c>
      <c r="R43" s="284"/>
      <c r="S43" s="59">
        <v>370000</v>
      </c>
      <c r="T43" s="466">
        <v>370000</v>
      </c>
      <c r="U43" s="418">
        <v>370000</v>
      </c>
      <c r="V43" s="43"/>
      <c r="W43" s="44"/>
      <c r="X43" s="58" t="s">
        <v>4506</v>
      </c>
      <c r="Y43" s="46"/>
      <c r="Z43" s="46"/>
      <c r="AA43" s="47">
        <f t="shared" si="18"/>
        <v>370000</v>
      </c>
      <c r="AB43" s="48">
        <f t="shared" si="19"/>
        <v>370000</v>
      </c>
      <c r="AC43" s="265"/>
      <c r="AD43" s="424">
        <f t="shared" si="13"/>
        <v>0</v>
      </c>
      <c r="AE43" s="49"/>
      <c r="AF43" s="50"/>
      <c r="AG43" s="50"/>
      <c r="AH43" s="50"/>
      <c r="AI43" s="51"/>
      <c r="AJ43" s="52">
        <f t="shared" si="17"/>
        <v>370000</v>
      </c>
      <c r="AK43" s="462"/>
      <c r="AL43" s="396" t="s">
        <v>5439</v>
      </c>
      <c r="AM43" s="308" t="str">
        <f t="shared" si="9"/>
        <v>1233</v>
      </c>
      <c r="AN43" s="369" t="str">
        <f t="shared" si="14"/>
        <v>1233</v>
      </c>
      <c r="AO43" s="291">
        <v>1233</v>
      </c>
      <c r="AR43" s="47">
        <f t="shared" si="16"/>
        <v>370000</v>
      </c>
      <c r="AS43" s="54"/>
      <c r="AT43" s="55"/>
      <c r="AU43" s="56"/>
      <c r="AV43" s="57" t="e">
        <f>#REF!-#REF!</f>
        <v>#REF!</v>
      </c>
    </row>
    <row r="44" spans="1:48" customFormat="1" ht="25.5" hidden="1" customHeight="1" outlineLevel="2">
      <c r="A44" s="542" t="s">
        <v>4454</v>
      </c>
      <c r="B44" s="337" t="s">
        <v>4500</v>
      </c>
      <c r="C44" s="458" t="s">
        <v>4517</v>
      </c>
      <c r="D44" s="542" t="s">
        <v>4454</v>
      </c>
      <c r="E44" s="473" t="s">
        <v>4518</v>
      </c>
      <c r="F44" s="474" t="s">
        <v>4519</v>
      </c>
      <c r="G44" s="409"/>
      <c r="H44" s="410" t="s">
        <v>4525</v>
      </c>
      <c r="I44" s="476"/>
      <c r="J44" s="477"/>
      <c r="K44" s="478"/>
      <c r="L44" s="413">
        <v>44287</v>
      </c>
      <c r="M44" s="464" t="s">
        <v>13</v>
      </c>
      <c r="N44" s="415">
        <v>44286</v>
      </c>
      <c r="O44" s="280">
        <v>0</v>
      </c>
      <c r="P44" s="465"/>
      <c r="Q44" s="263">
        <f t="shared" si="15"/>
        <v>0</v>
      </c>
      <c r="R44" s="284"/>
      <c r="S44" s="59"/>
      <c r="T44" s="466"/>
      <c r="U44" s="418">
        <v>0</v>
      </c>
      <c r="V44" s="43"/>
      <c r="W44" s="44"/>
      <c r="X44" s="58" t="s">
        <v>4506</v>
      </c>
      <c r="Y44" s="46"/>
      <c r="Z44" s="46"/>
      <c r="AA44" s="129">
        <f t="shared" si="18"/>
        <v>0</v>
      </c>
      <c r="AB44" s="48">
        <f t="shared" si="19"/>
        <v>0</v>
      </c>
      <c r="AC44" s="265"/>
      <c r="AD44" s="424">
        <f t="shared" si="13"/>
        <v>0</v>
      </c>
      <c r="AE44" s="49"/>
      <c r="AF44" s="50"/>
      <c r="AG44" s="50"/>
      <c r="AH44" s="50"/>
      <c r="AI44" s="51"/>
      <c r="AJ44" s="52">
        <f t="shared" si="17"/>
        <v>0</v>
      </c>
      <c r="AK44" s="462">
        <f>SUM(AE44:AJ44)</f>
        <v>0</v>
      </c>
      <c r="AL44" s="396"/>
      <c r="AM44" s="308" t="str">
        <f t="shared" si="9"/>
        <v/>
      </c>
      <c r="AN44" s="369" t="str">
        <f t="shared" si="14"/>
        <v/>
      </c>
      <c r="AO44" s="542" t="s">
        <v>4454</v>
      </c>
      <c r="AP44" s="542"/>
      <c r="AR44" s="130"/>
      <c r="AS44" s="54"/>
      <c r="AT44" s="55"/>
      <c r="AU44" s="41"/>
      <c r="AV44" s="57" t="e">
        <f>#REF!-#REF!</f>
        <v>#REF!</v>
      </c>
    </row>
    <row r="45" spans="1:48" ht="25.5" customHeight="1" outlineLevel="2">
      <c r="A45" s="291">
        <v>1234</v>
      </c>
      <c r="B45" s="337" t="s">
        <v>4500</v>
      </c>
      <c r="C45" s="458" t="s">
        <v>4458</v>
      </c>
      <c r="D45" s="291">
        <v>1234</v>
      </c>
      <c r="E45" s="407" t="s">
        <v>4518</v>
      </c>
      <c r="F45" s="428" t="s">
        <v>4519</v>
      </c>
      <c r="G45" s="409"/>
      <c r="H45" s="483" t="s">
        <v>5468</v>
      </c>
      <c r="I45" s="411">
        <v>12</v>
      </c>
      <c r="J45" s="459" t="s">
        <v>4548</v>
      </c>
      <c r="K45" s="460">
        <v>41</v>
      </c>
      <c r="L45" s="413">
        <v>44287</v>
      </c>
      <c r="M45" s="464" t="s">
        <v>13</v>
      </c>
      <c r="N45" s="415">
        <v>44286</v>
      </c>
      <c r="O45" s="280">
        <v>50000</v>
      </c>
      <c r="P45" s="465">
        <f>673000+460000+490000+250000</f>
        <v>1873000</v>
      </c>
      <c r="Q45" s="263">
        <f>R45+S45</f>
        <v>1719000</v>
      </c>
      <c r="R45" s="284"/>
      <c r="S45" s="59">
        <v>1719000</v>
      </c>
      <c r="T45" s="466">
        <v>1719000</v>
      </c>
      <c r="U45" s="418">
        <v>0</v>
      </c>
      <c r="V45" s="43"/>
      <c r="W45" s="44"/>
      <c r="X45" s="58" t="s">
        <v>4506</v>
      </c>
      <c r="Y45" s="133"/>
      <c r="Z45" s="46"/>
      <c r="AA45" s="47">
        <f>AB45+R45</f>
        <v>1719000</v>
      </c>
      <c r="AB45" s="48">
        <f>SUM(AE45:AJ45)</f>
        <v>1719000</v>
      </c>
      <c r="AC45" s="265"/>
      <c r="AD45" s="424">
        <f>SUM(AE45:AJ45)-AJ45</f>
        <v>0</v>
      </c>
      <c r="AE45" s="49"/>
      <c r="AF45" s="50"/>
      <c r="AG45" s="50"/>
      <c r="AH45" s="50"/>
      <c r="AI45" s="51"/>
      <c r="AJ45" s="52">
        <f>+S45</f>
        <v>1719000</v>
      </c>
      <c r="AK45" s="462"/>
      <c r="AL45" s="396" t="s">
        <v>5439</v>
      </c>
      <c r="AM45" s="308" t="str">
        <f t="shared" si="9"/>
        <v>1234</v>
      </c>
      <c r="AN45" s="369" t="str">
        <f t="shared" si="14"/>
        <v>1234</v>
      </c>
      <c r="AO45" s="291">
        <v>1234</v>
      </c>
      <c r="AR45" s="47">
        <f>U45+AB45-AJ45</f>
        <v>0</v>
      </c>
      <c r="AS45" s="54"/>
      <c r="AT45" s="55"/>
      <c r="AU45" s="56"/>
      <c r="AV45" s="57" t="e">
        <f>#REF!-#REF!</f>
        <v>#REF!</v>
      </c>
    </row>
    <row r="46" spans="1:48" ht="25.5" customHeight="1" outlineLevel="2">
      <c r="A46" s="291">
        <v>1235</v>
      </c>
      <c r="B46" s="337" t="s">
        <v>4500</v>
      </c>
      <c r="C46" s="458" t="s">
        <v>4458</v>
      </c>
      <c r="D46" s="291">
        <v>1235</v>
      </c>
      <c r="E46" s="407" t="s">
        <v>4518</v>
      </c>
      <c r="F46" s="428" t="s">
        <v>4519</v>
      </c>
      <c r="G46" s="409"/>
      <c r="H46" s="543" t="s">
        <v>5469</v>
      </c>
      <c r="I46" s="411">
        <v>12</v>
      </c>
      <c r="J46" s="459" t="s">
        <v>4528</v>
      </c>
      <c r="K46" s="437"/>
      <c r="L46" s="413">
        <v>44287</v>
      </c>
      <c r="M46" s="464" t="s">
        <v>13</v>
      </c>
      <c r="N46" s="415">
        <v>44286</v>
      </c>
      <c r="O46" s="280">
        <v>50000</v>
      </c>
      <c r="P46" s="465">
        <v>100000</v>
      </c>
      <c r="Q46" s="263">
        <f>R46+S46</f>
        <v>50000</v>
      </c>
      <c r="R46" s="284">
        <v>50000</v>
      </c>
      <c r="S46" s="285"/>
      <c r="T46" s="466">
        <v>100000</v>
      </c>
      <c r="U46" s="418">
        <v>50000</v>
      </c>
      <c r="V46" s="43"/>
      <c r="W46" s="44"/>
      <c r="X46" s="132"/>
      <c r="Y46" s="133"/>
      <c r="Z46" s="46"/>
      <c r="AA46" s="47">
        <f>AB46+R46</f>
        <v>50000</v>
      </c>
      <c r="AB46" s="48">
        <f>SUM(AE46:AJ46)</f>
        <v>0</v>
      </c>
      <c r="AC46" s="265"/>
      <c r="AD46" s="424">
        <f>SUM(AE46:AJ46)-AJ46</f>
        <v>0</v>
      </c>
      <c r="AE46" s="49"/>
      <c r="AF46" s="50"/>
      <c r="AG46" s="50"/>
      <c r="AH46" s="50"/>
      <c r="AI46" s="51"/>
      <c r="AJ46" s="52">
        <f>+S46</f>
        <v>0</v>
      </c>
      <c r="AK46" s="462"/>
      <c r="AL46" s="442"/>
      <c r="AM46" s="308" t="str">
        <f t="shared" si="9"/>
        <v>1235</v>
      </c>
      <c r="AN46" s="369" t="str">
        <f t="shared" si="14"/>
        <v>1235</v>
      </c>
      <c r="AO46" s="291">
        <v>1235</v>
      </c>
      <c r="AR46" s="47">
        <f>U46+AB46-AJ46</f>
        <v>50000</v>
      </c>
      <c r="AS46" s="54"/>
      <c r="AT46" s="55"/>
      <c r="AU46" s="56"/>
      <c r="AV46" s="57" t="e">
        <f>#REF!-#REF!</f>
        <v>#REF!</v>
      </c>
    </row>
    <row r="47" spans="1:48" ht="25.5" customHeight="1" outlineLevel="2">
      <c r="A47" s="291">
        <v>1241</v>
      </c>
      <c r="B47" s="337" t="s">
        <v>4500</v>
      </c>
      <c r="C47" s="458" t="s">
        <v>4458</v>
      </c>
      <c r="D47" s="291">
        <v>1241</v>
      </c>
      <c r="E47" s="407" t="s">
        <v>4518</v>
      </c>
      <c r="F47" s="428" t="s">
        <v>4519</v>
      </c>
      <c r="G47" s="409"/>
      <c r="H47" s="429" t="s">
        <v>5470</v>
      </c>
      <c r="I47" s="411">
        <v>12</v>
      </c>
      <c r="J47" s="459" t="s">
        <v>4526</v>
      </c>
      <c r="K47" s="437"/>
      <c r="L47" s="413">
        <v>44287</v>
      </c>
      <c r="M47" s="464"/>
      <c r="N47" s="415">
        <v>44286</v>
      </c>
      <c r="O47" s="280">
        <v>250000</v>
      </c>
      <c r="P47" s="465">
        <v>250000</v>
      </c>
      <c r="Q47" s="263">
        <f>R47+S47</f>
        <v>250000</v>
      </c>
      <c r="R47" s="284">
        <v>250000</v>
      </c>
      <c r="S47" s="285"/>
      <c r="T47" s="466">
        <v>250000</v>
      </c>
      <c r="U47" s="418">
        <v>250000</v>
      </c>
      <c r="V47" s="43"/>
      <c r="W47" s="44"/>
      <c r="X47" s="131">
        <f>+L47+9</f>
        <v>44296</v>
      </c>
      <c r="Y47" s="128"/>
      <c r="Z47" s="46"/>
      <c r="AA47" s="47">
        <f>Q47+AB47-AJ47</f>
        <v>285000</v>
      </c>
      <c r="AB47" s="48">
        <f>SUM(AE47:AI47)+AJ47</f>
        <v>35000</v>
      </c>
      <c r="AC47" s="265"/>
      <c r="AD47" s="424">
        <f t="shared" si="13"/>
        <v>35000</v>
      </c>
      <c r="AE47" s="49">
        <v>35000</v>
      </c>
      <c r="AF47" s="50"/>
      <c r="AG47" s="50"/>
      <c r="AH47" s="50"/>
      <c r="AI47" s="51"/>
      <c r="AJ47" s="52">
        <f t="shared" si="17"/>
        <v>0</v>
      </c>
      <c r="AK47" s="462"/>
      <c r="AL47" s="396"/>
      <c r="AM47" s="308" t="str">
        <f t="shared" si="9"/>
        <v>1241</v>
      </c>
      <c r="AN47" s="369" t="str">
        <f t="shared" si="14"/>
        <v>1241</v>
      </c>
      <c r="AO47" s="291">
        <v>1241</v>
      </c>
      <c r="AR47" s="47">
        <f>U47+AB47-AJ47</f>
        <v>285000</v>
      </c>
      <c r="AS47" s="54"/>
      <c r="AT47" s="55"/>
      <c r="AU47" s="56"/>
      <c r="AV47" s="57" t="e">
        <f>#REF!-#REF!</f>
        <v>#REF!</v>
      </c>
    </row>
    <row r="48" spans="1:48" s="470" customFormat="1" ht="21" customHeight="1" outlineLevel="2">
      <c r="A48" s="463" t="s">
        <v>4454</v>
      </c>
      <c r="B48" s="485"/>
      <c r="C48" s="472" t="s">
        <v>4517</v>
      </c>
      <c r="D48" s="463" t="s">
        <v>4454</v>
      </c>
      <c r="E48" s="473"/>
      <c r="F48" s="474" t="s">
        <v>4519</v>
      </c>
      <c r="G48" s="475"/>
      <c r="H48" s="486"/>
      <c r="I48" s="476"/>
      <c r="J48" s="477"/>
      <c r="K48" s="437"/>
      <c r="L48" s="487"/>
      <c r="M48" s="464" t="s">
        <v>13</v>
      </c>
      <c r="N48" s="488"/>
      <c r="O48" s="280">
        <v>0</v>
      </c>
      <c r="P48" s="465"/>
      <c r="Q48" s="263">
        <f t="shared" si="15"/>
        <v>0</v>
      </c>
      <c r="R48" s="278"/>
      <c r="S48" s="279"/>
      <c r="T48" s="466"/>
      <c r="U48" s="544"/>
      <c r="V48" s="61"/>
      <c r="W48" s="68"/>
      <c r="X48" s="79"/>
      <c r="Y48" s="70"/>
      <c r="Z48" s="70"/>
      <c r="AA48" s="63">
        <f>Q48+AB48-AJ48</f>
        <v>0</v>
      </c>
      <c r="AB48" s="72"/>
      <c r="AC48" s="267"/>
      <c r="AD48" s="545">
        <f t="shared" si="13"/>
        <v>0</v>
      </c>
      <c r="AE48" s="62"/>
      <c r="AF48" s="73"/>
      <c r="AG48" s="73"/>
      <c r="AH48" s="73"/>
      <c r="AI48" s="74"/>
      <c r="AJ48" s="52">
        <f t="shared" si="17"/>
        <v>0</v>
      </c>
      <c r="AK48" s="467">
        <f>SUM(AE48:AJ48)</f>
        <v>0</v>
      </c>
      <c r="AL48" s="546"/>
      <c r="AM48" s="468" t="str">
        <f t="shared" ref="AM48:AM79" si="22">I48&amp;J48</f>
        <v/>
      </c>
      <c r="AN48" s="469" t="str">
        <f t="shared" si="14"/>
        <v/>
      </c>
      <c r="AO48" s="463" t="s">
        <v>4454</v>
      </c>
      <c r="AP48" s="463"/>
      <c r="AR48" s="63"/>
      <c r="AS48" s="64"/>
      <c r="AT48" s="65"/>
      <c r="AU48" s="66"/>
      <c r="AV48" s="67" t="e">
        <f>#REF!-#REF!</f>
        <v>#REF!</v>
      </c>
    </row>
    <row r="49" spans="1:48" ht="25.5" customHeight="1" outlineLevel="2" thickBot="1">
      <c r="A49" s="291">
        <v>1583</v>
      </c>
      <c r="B49" s="490" t="s">
        <v>4500</v>
      </c>
      <c r="C49" s="491" t="s">
        <v>4458</v>
      </c>
      <c r="D49" s="291">
        <v>1583</v>
      </c>
      <c r="E49" s="492" t="s">
        <v>4553</v>
      </c>
      <c r="F49" s="493" t="s">
        <v>4519</v>
      </c>
      <c r="G49" s="494"/>
      <c r="H49" s="547" t="s">
        <v>5471</v>
      </c>
      <c r="I49" s="496">
        <v>15</v>
      </c>
      <c r="J49" s="497" t="s">
        <v>5472</v>
      </c>
      <c r="K49" s="412">
        <v>42</v>
      </c>
      <c r="L49" s="413">
        <v>44287</v>
      </c>
      <c r="M49" s="464" t="s">
        <v>13</v>
      </c>
      <c r="N49" s="415">
        <v>44286</v>
      </c>
      <c r="O49" s="280">
        <v>440000</v>
      </c>
      <c r="P49" s="465">
        <v>440000</v>
      </c>
      <c r="Q49" s="263">
        <f t="shared" si="15"/>
        <v>440000</v>
      </c>
      <c r="R49" s="503"/>
      <c r="S49" s="134">
        <v>440000</v>
      </c>
      <c r="T49" s="466">
        <v>440000</v>
      </c>
      <c r="U49" s="548">
        <v>440000</v>
      </c>
      <c r="V49" s="80"/>
      <c r="W49" s="81"/>
      <c r="X49" s="58" t="s">
        <v>4506</v>
      </c>
      <c r="Y49" s="82"/>
      <c r="Z49" s="82"/>
      <c r="AA49" s="47">
        <f>Q49+AB49-AJ49</f>
        <v>440000</v>
      </c>
      <c r="AB49" s="48">
        <f>SUM(AE49:AI49)+AJ49</f>
        <v>440000</v>
      </c>
      <c r="AC49" s="271"/>
      <c r="AD49" s="424">
        <f t="shared" si="13"/>
        <v>0</v>
      </c>
      <c r="AE49" s="83"/>
      <c r="AF49" s="84"/>
      <c r="AG49" s="84"/>
      <c r="AH49" s="84"/>
      <c r="AI49" s="135"/>
      <c r="AJ49" s="52">
        <f t="shared" si="17"/>
        <v>440000</v>
      </c>
      <c r="AK49" s="505"/>
      <c r="AL49" s="396" t="s">
        <v>5439</v>
      </c>
      <c r="AM49" s="308" t="str">
        <f t="shared" si="22"/>
        <v>1583</v>
      </c>
      <c r="AN49" s="369" t="str">
        <f t="shared" si="14"/>
        <v>1583</v>
      </c>
      <c r="AO49" s="291">
        <v>1583</v>
      </c>
      <c r="AR49" s="47">
        <f>U50+AB49-AJ49</f>
        <v>6520000</v>
      </c>
      <c r="AS49" s="87"/>
      <c r="AT49" s="88"/>
      <c r="AU49" s="89"/>
      <c r="AV49" s="90" t="e">
        <f>#REF!-#REF!</f>
        <v>#REF!</v>
      </c>
    </row>
    <row r="50" spans="1:48" ht="25.5" customHeight="1" outlineLevel="1" thickBot="1">
      <c r="A50" s="291" t="s">
        <v>4454</v>
      </c>
      <c r="B50" s="507"/>
      <c r="C50" s="508" t="s">
        <v>4517</v>
      </c>
      <c r="D50" s="291" t="s">
        <v>4454</v>
      </c>
      <c r="E50" s="509"/>
      <c r="F50" s="510" t="s">
        <v>4529</v>
      </c>
      <c r="G50" s="511"/>
      <c r="H50" s="512"/>
      <c r="I50" s="513"/>
      <c r="J50" s="514"/>
      <c r="K50" s="515"/>
      <c r="L50" s="516"/>
      <c r="M50" s="517"/>
      <c r="N50" s="518"/>
      <c r="O50" s="519">
        <v>6520000</v>
      </c>
      <c r="P50" s="520">
        <f>SUM(P33:P49)</f>
        <v>8823000</v>
      </c>
      <c r="Q50" s="521">
        <f>SUBTOTAL(9,Q33:Q49)</f>
        <v>8393000</v>
      </c>
      <c r="R50" s="522">
        <f>SUBTOTAL(9,R33:R49)</f>
        <v>1454000</v>
      </c>
      <c r="S50" s="523">
        <f>SUBTOTAL(9,S33:S49)</f>
        <v>6939000</v>
      </c>
      <c r="T50" s="524">
        <v>8583000</v>
      </c>
      <c r="U50" s="549">
        <v>6520000</v>
      </c>
      <c r="V50" s="94"/>
      <c r="W50" s="95"/>
      <c r="X50" s="97"/>
      <c r="Y50" s="97"/>
      <c r="Z50" s="97"/>
      <c r="AA50" s="98">
        <f>SUBTOTAL(9,AA33:AA49)</f>
        <v>8568000</v>
      </c>
      <c r="AB50" s="176">
        <f>SUBTOTAL(9,AB33:AB49)</f>
        <v>7114000</v>
      </c>
      <c r="AC50" s="273"/>
      <c r="AD50" s="526">
        <f>SUM(AE50:AJ50)</f>
        <v>7114000</v>
      </c>
      <c r="AE50" s="136">
        <f t="shared" ref="AE50:AK50" si="23">SUBTOTAL(9,AE33:AE49)</f>
        <v>175000</v>
      </c>
      <c r="AF50" s="101">
        <f t="shared" si="23"/>
        <v>0</v>
      </c>
      <c r="AG50" s="101">
        <f t="shared" si="23"/>
        <v>0</v>
      </c>
      <c r="AH50" s="101">
        <f t="shared" si="23"/>
        <v>0</v>
      </c>
      <c r="AI50" s="102">
        <f t="shared" si="23"/>
        <v>0</v>
      </c>
      <c r="AJ50" s="103">
        <f t="shared" si="23"/>
        <v>6939000</v>
      </c>
      <c r="AK50" s="527">
        <f t="shared" si="23"/>
        <v>130000</v>
      </c>
      <c r="AL50" s="550">
        <f>Q50</f>
        <v>8393000</v>
      </c>
      <c r="AM50" s="308" t="str">
        <f t="shared" si="22"/>
        <v/>
      </c>
      <c r="AN50" s="369" t="str">
        <f t="shared" si="14"/>
        <v/>
      </c>
      <c r="AO50" s="291" t="s">
        <v>4454</v>
      </c>
      <c r="AR50" s="137">
        <f>SUBTOTAL(9,AR33:AR49)</f>
        <v>12775000</v>
      </c>
      <c r="AS50" s="107"/>
      <c r="AT50" s="108">
        <f>SUBTOTAL(9,AT33:AT49)</f>
        <v>0</v>
      </c>
      <c r="AU50" s="109"/>
      <c r="AV50" s="110" t="e">
        <f>SUBTOTAL(9,AV33:AV49)</f>
        <v>#REF!</v>
      </c>
    </row>
    <row r="51" spans="1:48" ht="25.5" customHeight="1" outlineLevel="2">
      <c r="A51" s="291">
        <v>2111</v>
      </c>
      <c r="B51" s="337" t="s">
        <v>4530</v>
      </c>
      <c r="C51" s="551">
        <v>11</v>
      </c>
      <c r="D51" s="291">
        <v>2111</v>
      </c>
      <c r="E51" s="339" t="s">
        <v>4531</v>
      </c>
      <c r="F51" s="340" t="s">
        <v>5202</v>
      </c>
      <c r="G51" s="341">
        <v>26</v>
      </c>
      <c r="H51" s="552" t="s">
        <v>5473</v>
      </c>
      <c r="I51" s="343">
        <v>21</v>
      </c>
      <c r="J51" s="344" t="s">
        <v>4504</v>
      </c>
      <c r="K51" s="553">
        <v>44</v>
      </c>
      <c r="L51" s="346">
        <v>44303</v>
      </c>
      <c r="M51" s="554" t="s">
        <v>13</v>
      </c>
      <c r="N51" s="438">
        <v>44325</v>
      </c>
      <c r="O51" s="349">
        <v>1100000</v>
      </c>
      <c r="P51" s="555">
        <v>1100000</v>
      </c>
      <c r="Q51" s="351">
        <f>R51+S51</f>
        <v>1100000</v>
      </c>
      <c r="R51" s="352"/>
      <c r="S51" s="201">
        <v>1100000</v>
      </c>
      <c r="T51" s="556">
        <v>1100000</v>
      </c>
      <c r="U51" s="355">
        <v>1100000</v>
      </c>
      <c r="V51" s="206"/>
      <c r="W51" s="202"/>
      <c r="X51" s="173" t="s">
        <v>4506</v>
      </c>
      <c r="Y51" s="557"/>
      <c r="Z51" s="557"/>
      <c r="AA51" s="198">
        <f>Q51+AB51-AJ51</f>
        <v>1180000</v>
      </c>
      <c r="AB51" s="48">
        <f>SUM(AE51:AI51)+AJ51</f>
        <v>1180000</v>
      </c>
      <c r="AC51" s="265"/>
      <c r="AD51" s="362">
        <f>SUM(AE51:AJ51)-AJ51</f>
        <v>80000</v>
      </c>
      <c r="AE51" s="202">
        <v>80000</v>
      </c>
      <c r="AF51" s="203"/>
      <c r="AG51" s="203"/>
      <c r="AH51" s="203"/>
      <c r="AI51" s="204"/>
      <c r="AJ51" s="143">
        <f>+S51</f>
        <v>1100000</v>
      </c>
      <c r="AK51" s="558"/>
      <c r="AL51" s="559" t="s">
        <v>5439</v>
      </c>
      <c r="AM51" s="308" t="str">
        <f t="shared" si="22"/>
        <v>2111</v>
      </c>
      <c r="AN51" s="369" t="str">
        <f t="shared" si="14"/>
        <v>2111</v>
      </c>
      <c r="AO51" s="291">
        <v>2111</v>
      </c>
      <c r="AR51" s="129" t="e">
        <f>#REF!+AB51</f>
        <v>#REF!</v>
      </c>
      <c r="AS51" s="54"/>
      <c r="AT51" s="55"/>
      <c r="AU51" s="56"/>
      <c r="AV51" s="57" t="e">
        <f>#REF!-#REF!</f>
        <v>#REF!</v>
      </c>
    </row>
    <row r="52" spans="1:48" s="470" customFormat="1" ht="25.5" customHeight="1" outlineLevel="2">
      <c r="A52" s="463" t="s">
        <v>4454</v>
      </c>
      <c r="B52" s="485"/>
      <c r="C52" s="472" t="s">
        <v>4504</v>
      </c>
      <c r="D52" s="463" t="s">
        <v>4454</v>
      </c>
      <c r="E52" s="473"/>
      <c r="F52" s="474" t="s">
        <v>5202</v>
      </c>
      <c r="G52" s="475"/>
      <c r="H52" s="486"/>
      <c r="I52" s="476"/>
      <c r="J52" s="477"/>
      <c r="K52" s="437"/>
      <c r="L52" s="487"/>
      <c r="M52" s="464" t="s">
        <v>13</v>
      </c>
      <c r="N52" s="488"/>
      <c r="O52" s="280">
        <v>0</v>
      </c>
      <c r="P52" s="465"/>
      <c r="Q52" s="263">
        <f>R52+S52</f>
        <v>0</v>
      </c>
      <c r="R52" s="278"/>
      <c r="S52" s="279"/>
      <c r="T52" s="466"/>
      <c r="U52" s="418">
        <v>0</v>
      </c>
      <c r="V52" s="61"/>
      <c r="W52" s="68"/>
      <c r="X52" s="79"/>
      <c r="Y52" s="70"/>
      <c r="Z52" s="70"/>
      <c r="AA52" s="63">
        <f>Q52+AB52-AJ52</f>
        <v>0</v>
      </c>
      <c r="AB52" s="72"/>
      <c r="AC52" s="267"/>
      <c r="AD52" s="545">
        <f>SUM(AE52:AJ52)-AJ52</f>
        <v>0</v>
      </c>
      <c r="AE52" s="62"/>
      <c r="AF52" s="73"/>
      <c r="AG52" s="73"/>
      <c r="AH52" s="73"/>
      <c r="AI52" s="74"/>
      <c r="AJ52" s="75"/>
      <c r="AK52" s="467"/>
      <c r="AL52" s="546"/>
      <c r="AM52" s="468" t="str">
        <f t="shared" si="22"/>
        <v/>
      </c>
      <c r="AN52" s="469" t="str">
        <f t="shared" si="14"/>
        <v/>
      </c>
      <c r="AO52" s="463" t="s">
        <v>4454</v>
      </c>
      <c r="AP52" s="463"/>
      <c r="AR52" s="63"/>
      <c r="AS52" s="64"/>
      <c r="AT52" s="65"/>
      <c r="AU52" s="66"/>
      <c r="AV52" s="67" t="e">
        <f>#REF!-#REF!</f>
        <v>#REF!</v>
      </c>
    </row>
    <row r="53" spans="1:48" customFormat="1" ht="25.5" customHeight="1" outlineLevel="2" thickBot="1">
      <c r="A53" s="542">
        <v>1511</v>
      </c>
      <c r="B53" s="490" t="s">
        <v>4500</v>
      </c>
      <c r="C53" s="458" t="s">
        <v>4504</v>
      </c>
      <c r="D53" s="542">
        <v>1511</v>
      </c>
      <c r="E53" s="492" t="s">
        <v>4553</v>
      </c>
      <c r="F53" s="428" t="s">
        <v>5202</v>
      </c>
      <c r="G53" s="409"/>
      <c r="H53" s="429" t="s">
        <v>5203</v>
      </c>
      <c r="I53" s="411">
        <v>15</v>
      </c>
      <c r="J53" s="459" t="s">
        <v>4504</v>
      </c>
      <c r="K53" s="560"/>
      <c r="L53" s="413"/>
      <c r="M53" s="464" t="s">
        <v>13</v>
      </c>
      <c r="N53" s="415"/>
      <c r="O53" s="280">
        <v>50000</v>
      </c>
      <c r="P53" s="465">
        <v>50000</v>
      </c>
      <c r="Q53" s="263">
        <f>R53+S53</f>
        <v>50000</v>
      </c>
      <c r="R53" s="284">
        <v>50000</v>
      </c>
      <c r="S53" s="285"/>
      <c r="T53" s="466">
        <v>50000</v>
      </c>
      <c r="U53" s="561">
        <v>50000</v>
      </c>
      <c r="V53" s="43"/>
      <c r="W53" s="44"/>
      <c r="X53" s="45">
        <v>43200</v>
      </c>
      <c r="Y53" s="46"/>
      <c r="Z53" s="46"/>
      <c r="AA53" s="130">
        <f>Q53+AB53-AJ53</f>
        <v>50000</v>
      </c>
      <c r="AB53" s="142"/>
      <c r="AC53" s="562"/>
      <c r="AD53" s="424">
        <f>SUM(AE53:AJ53)-AJ53</f>
        <v>0</v>
      </c>
      <c r="AE53" s="49"/>
      <c r="AF53" s="50"/>
      <c r="AG53" s="50"/>
      <c r="AH53" s="50"/>
      <c r="AI53" s="51"/>
      <c r="AJ53" s="52"/>
      <c r="AK53" s="462"/>
      <c r="AL53" s="442"/>
      <c r="AM53" s="308" t="str">
        <f t="shared" si="22"/>
        <v>1511</v>
      </c>
      <c r="AN53" s="369" t="str">
        <f t="shared" si="14"/>
        <v>1511</v>
      </c>
      <c r="AO53" s="542">
        <v>1511</v>
      </c>
      <c r="AP53" s="542"/>
      <c r="AR53" s="130"/>
      <c r="AS53" s="54"/>
      <c r="AT53" s="55"/>
      <c r="AU53" s="41"/>
      <c r="AV53" s="57" t="e">
        <f>#REF!-#REF!</f>
        <v>#REF!</v>
      </c>
    </row>
    <row r="54" spans="1:48" ht="25.5" customHeight="1" outlineLevel="1" thickBot="1">
      <c r="A54" s="291" t="s">
        <v>4454</v>
      </c>
      <c r="B54" s="507"/>
      <c r="C54" s="508">
        <v>11</v>
      </c>
      <c r="D54" s="291" t="s">
        <v>4454</v>
      </c>
      <c r="E54" s="509"/>
      <c r="F54" s="510" t="s">
        <v>5204</v>
      </c>
      <c r="G54" s="511"/>
      <c r="H54" s="512"/>
      <c r="I54" s="513"/>
      <c r="J54" s="514"/>
      <c r="K54" s="515"/>
      <c r="L54" s="516"/>
      <c r="M54" s="517"/>
      <c r="N54" s="518"/>
      <c r="O54" s="519">
        <v>1150000</v>
      </c>
      <c r="P54" s="520"/>
      <c r="Q54" s="521">
        <f>SUBTOTAL(9,Q51:Q53)</f>
        <v>1150000</v>
      </c>
      <c r="R54" s="522">
        <f>SUBTOTAL(9,R51:R53)</f>
        <v>50000</v>
      </c>
      <c r="S54" s="523">
        <f>SUBTOTAL(9,S51:S53)</f>
        <v>1100000</v>
      </c>
      <c r="T54" s="524"/>
      <c r="U54" s="548">
        <v>1150000</v>
      </c>
      <c r="V54" s="94"/>
      <c r="W54" s="95"/>
      <c r="X54" s="96"/>
      <c r="Y54" s="97"/>
      <c r="Z54" s="97"/>
      <c r="AA54" s="98">
        <f>SUBTOTAL(9,AA51:AA53)</f>
        <v>1230000</v>
      </c>
      <c r="AB54" s="176">
        <f>SUBTOTAL(9,AB51:AB53)</f>
        <v>1180000</v>
      </c>
      <c r="AC54" s="273"/>
      <c r="AD54" s="526">
        <f>SUM(AE54:AJ54)</f>
        <v>1180000</v>
      </c>
      <c r="AE54" s="100">
        <f t="shared" ref="AE54:AK54" si="24">SUBTOTAL(9,AE51:AE53)</f>
        <v>80000</v>
      </c>
      <c r="AF54" s="101">
        <f t="shared" si="24"/>
        <v>0</v>
      </c>
      <c r="AG54" s="101">
        <f t="shared" si="24"/>
        <v>0</v>
      </c>
      <c r="AH54" s="101">
        <f t="shared" si="24"/>
        <v>0</v>
      </c>
      <c r="AI54" s="102">
        <f t="shared" si="24"/>
        <v>0</v>
      </c>
      <c r="AJ54" s="103">
        <f t="shared" si="24"/>
        <v>1100000</v>
      </c>
      <c r="AK54" s="527">
        <f t="shared" si="24"/>
        <v>0</v>
      </c>
      <c r="AL54" s="563"/>
      <c r="AM54" s="308" t="str">
        <f t="shared" si="22"/>
        <v/>
      </c>
      <c r="AN54" s="369" t="str">
        <f t="shared" si="14"/>
        <v/>
      </c>
      <c r="AO54" s="291" t="s">
        <v>4454</v>
      </c>
      <c r="AR54" s="137" t="e">
        <f>SUBTOTAL(9,AR51:AR53)</f>
        <v>#REF!</v>
      </c>
      <c r="AS54" s="107"/>
      <c r="AT54" s="108" t="e">
        <f>SUBTOTAL(9,#REF!)</f>
        <v>#REF!</v>
      </c>
      <c r="AU54" s="109"/>
      <c r="AV54" s="110" t="e">
        <f>SUBTOTAL(9,AV51:AV53)</f>
        <v>#REF!</v>
      </c>
    </row>
    <row r="55" spans="1:48" ht="25.5" customHeight="1" outlineLevel="2">
      <c r="A55" s="291">
        <v>2112</v>
      </c>
      <c r="B55" s="564" t="s">
        <v>4530</v>
      </c>
      <c r="C55" s="530">
        <v>12</v>
      </c>
      <c r="D55" s="291">
        <v>2112</v>
      </c>
      <c r="E55" s="531" t="s">
        <v>4460</v>
      </c>
      <c r="F55" s="532" t="s">
        <v>5474</v>
      </c>
      <c r="G55" s="533"/>
      <c r="H55" s="565" t="s">
        <v>5475</v>
      </c>
      <c r="I55" s="535">
        <v>21</v>
      </c>
      <c r="J55" s="536" t="s">
        <v>4515</v>
      </c>
      <c r="K55" s="566">
        <v>45</v>
      </c>
      <c r="L55" s="567">
        <v>44528</v>
      </c>
      <c r="M55" s="464" t="s">
        <v>13</v>
      </c>
      <c r="N55" s="568">
        <v>44549</v>
      </c>
      <c r="O55" s="349">
        <v>1200000</v>
      </c>
      <c r="P55" s="555">
        <v>1500000</v>
      </c>
      <c r="Q55" s="263">
        <f t="shared" ref="Q55:Q71" si="25">R55+S55</f>
        <v>1250000</v>
      </c>
      <c r="R55" s="538"/>
      <c r="S55" s="138">
        <v>1250000</v>
      </c>
      <c r="T55" s="466">
        <v>1500000</v>
      </c>
      <c r="U55" s="418">
        <v>1250000</v>
      </c>
      <c r="V55" s="112"/>
      <c r="W55" s="113"/>
      <c r="X55" s="139" t="s">
        <v>4506</v>
      </c>
      <c r="Y55" s="115"/>
      <c r="Z55" s="115"/>
      <c r="AA55" s="116">
        <f t="shared" ref="AA55:AA71" si="26">Q55+AB55-AJ55</f>
        <v>1250000</v>
      </c>
      <c r="AB55" s="117">
        <f t="shared" ref="AB55:AB60" si="27">SUM(AE55:AI55)+AJ55</f>
        <v>1250000</v>
      </c>
      <c r="AC55" s="274"/>
      <c r="AD55" s="362">
        <f t="shared" ref="AD55:AD71" si="28">SUM(AE55:AJ55)-AJ55</f>
        <v>0</v>
      </c>
      <c r="AE55" s="118"/>
      <c r="AF55" s="119"/>
      <c r="AG55" s="119"/>
      <c r="AH55" s="119"/>
      <c r="AI55" s="120"/>
      <c r="AJ55" s="143">
        <f t="shared" ref="AJ55:AJ71" si="29">+S55</f>
        <v>1250000</v>
      </c>
      <c r="AK55" s="540"/>
      <c r="AL55" s="396" t="s">
        <v>5439</v>
      </c>
      <c r="AM55" s="308" t="str">
        <f t="shared" si="22"/>
        <v>2112</v>
      </c>
      <c r="AN55" s="369" t="str">
        <f t="shared" si="14"/>
        <v>2112</v>
      </c>
      <c r="AO55" s="291">
        <v>2112</v>
      </c>
      <c r="AR55" s="129">
        <f>U56+AB55</f>
        <v>2900000</v>
      </c>
      <c r="AS55" s="54"/>
      <c r="AT55" s="55"/>
      <c r="AU55" s="56"/>
      <c r="AV55" s="57" t="e">
        <f>#REF!-#REF!</f>
        <v>#REF!</v>
      </c>
    </row>
    <row r="56" spans="1:48" ht="25.5" customHeight="1" outlineLevel="2">
      <c r="A56" s="291">
        <v>2113</v>
      </c>
      <c r="B56" s="569" t="s">
        <v>4530</v>
      </c>
      <c r="C56" s="458" t="s">
        <v>4515</v>
      </c>
      <c r="D56" s="291">
        <v>2113</v>
      </c>
      <c r="E56" s="407" t="s">
        <v>4460</v>
      </c>
      <c r="F56" s="428" t="s">
        <v>5474</v>
      </c>
      <c r="G56" s="409"/>
      <c r="H56" s="410" t="s">
        <v>5476</v>
      </c>
      <c r="I56" s="411">
        <v>21</v>
      </c>
      <c r="J56" s="459" t="s">
        <v>4532</v>
      </c>
      <c r="K56" s="460">
        <v>46</v>
      </c>
      <c r="L56" s="413">
        <v>44205</v>
      </c>
      <c r="M56" s="464" t="s">
        <v>13</v>
      </c>
      <c r="N56" s="415">
        <v>44261</v>
      </c>
      <c r="O56" s="280">
        <v>1700000</v>
      </c>
      <c r="P56" s="465">
        <v>1650000</v>
      </c>
      <c r="Q56" s="263">
        <f t="shared" si="25"/>
        <v>1650000</v>
      </c>
      <c r="R56" s="284"/>
      <c r="S56" s="59">
        <v>1650000</v>
      </c>
      <c r="T56" s="466">
        <v>1650000</v>
      </c>
      <c r="U56" s="418">
        <v>1650000</v>
      </c>
      <c r="V56" s="43"/>
      <c r="W56" s="44"/>
      <c r="X56" s="58" t="s">
        <v>4506</v>
      </c>
      <c r="Y56" s="46"/>
      <c r="Z56" s="46"/>
      <c r="AA56" s="129">
        <f t="shared" si="26"/>
        <v>1650000</v>
      </c>
      <c r="AB56" s="48">
        <f t="shared" si="27"/>
        <v>1650000</v>
      </c>
      <c r="AC56" s="265"/>
      <c r="AD56" s="424">
        <f t="shared" si="28"/>
        <v>0</v>
      </c>
      <c r="AE56" s="49"/>
      <c r="AF56" s="50"/>
      <c r="AG56" s="50"/>
      <c r="AH56" s="50"/>
      <c r="AI56" s="51"/>
      <c r="AJ56" s="52">
        <f t="shared" si="29"/>
        <v>1650000</v>
      </c>
      <c r="AK56" s="462"/>
      <c r="AL56" s="396" t="s">
        <v>5439</v>
      </c>
      <c r="AM56" s="308" t="str">
        <f t="shared" si="22"/>
        <v>2113</v>
      </c>
      <c r="AN56" s="369" t="str">
        <f t="shared" si="14"/>
        <v>2113</v>
      </c>
      <c r="AO56" s="291">
        <v>2113</v>
      </c>
      <c r="AR56" s="129">
        <f>U57+AB56</f>
        <v>2400000</v>
      </c>
      <c r="AS56" s="54"/>
      <c r="AT56" s="55"/>
      <c r="AU56" s="56"/>
      <c r="AV56" s="57" t="e">
        <f>#REF!-#REF!</f>
        <v>#REF!</v>
      </c>
    </row>
    <row r="57" spans="1:48" ht="25.5" customHeight="1" outlineLevel="2">
      <c r="A57" s="291">
        <v>2114</v>
      </c>
      <c r="B57" s="569" t="s">
        <v>4530</v>
      </c>
      <c r="C57" s="458" t="s">
        <v>4515</v>
      </c>
      <c r="D57" s="291">
        <v>2114</v>
      </c>
      <c r="E57" s="407" t="s">
        <v>4460</v>
      </c>
      <c r="F57" s="428" t="s">
        <v>5474</v>
      </c>
      <c r="G57" s="409"/>
      <c r="H57" s="410" t="s">
        <v>5477</v>
      </c>
      <c r="I57" s="411">
        <v>21</v>
      </c>
      <c r="J57" s="459" t="s">
        <v>4533</v>
      </c>
      <c r="K57" s="460">
        <v>47</v>
      </c>
      <c r="L57" s="413">
        <v>44353</v>
      </c>
      <c r="M57" s="464" t="s">
        <v>13</v>
      </c>
      <c r="N57" s="415">
        <v>44395</v>
      </c>
      <c r="O57" s="280">
        <v>750000</v>
      </c>
      <c r="P57" s="465">
        <v>800000</v>
      </c>
      <c r="Q57" s="263">
        <f t="shared" si="25"/>
        <v>750000</v>
      </c>
      <c r="R57" s="284"/>
      <c r="S57" s="59">
        <v>750000</v>
      </c>
      <c r="T57" s="466">
        <v>800000</v>
      </c>
      <c r="U57" s="418">
        <v>750000</v>
      </c>
      <c r="V57" s="43"/>
      <c r="W57" s="44"/>
      <c r="X57" s="58" t="s">
        <v>4506</v>
      </c>
      <c r="Y57" s="46"/>
      <c r="Z57" s="46"/>
      <c r="AA57" s="129">
        <f t="shared" si="26"/>
        <v>750000</v>
      </c>
      <c r="AB57" s="48">
        <f t="shared" si="27"/>
        <v>750000</v>
      </c>
      <c r="AC57" s="265"/>
      <c r="AD57" s="424">
        <f t="shared" si="28"/>
        <v>0</v>
      </c>
      <c r="AE57" s="49"/>
      <c r="AF57" s="50"/>
      <c r="AG57" s="50"/>
      <c r="AH57" s="50"/>
      <c r="AI57" s="60"/>
      <c r="AJ57" s="52">
        <f t="shared" si="29"/>
        <v>750000</v>
      </c>
      <c r="AK57" s="462"/>
      <c r="AL57" s="396" t="s">
        <v>5439</v>
      </c>
      <c r="AM57" s="308" t="str">
        <f t="shared" si="22"/>
        <v>2114</v>
      </c>
      <c r="AN57" s="369" t="str">
        <f t="shared" si="14"/>
        <v>2114</v>
      </c>
      <c r="AO57" s="291">
        <v>2114</v>
      </c>
      <c r="AR57" s="129">
        <f>U58+AB57</f>
        <v>2050000</v>
      </c>
      <c r="AS57" s="54"/>
      <c r="AT57" s="55"/>
      <c r="AU57" s="56"/>
      <c r="AV57" s="57" t="e">
        <f>#REF!-#REF!</f>
        <v>#REF!</v>
      </c>
    </row>
    <row r="58" spans="1:48" s="470" customFormat="1" ht="25.5" customHeight="1" outlineLevel="2">
      <c r="A58" s="463" t="s">
        <v>4454</v>
      </c>
      <c r="B58" s="485" t="s">
        <v>4530</v>
      </c>
      <c r="C58" s="472" t="s">
        <v>4515</v>
      </c>
      <c r="D58" s="463" t="s">
        <v>4454</v>
      </c>
      <c r="E58" s="473" t="s">
        <v>4461</v>
      </c>
      <c r="F58" s="474" t="s">
        <v>5474</v>
      </c>
      <c r="G58" s="475"/>
      <c r="H58" s="570" t="s">
        <v>5478</v>
      </c>
      <c r="I58" s="476"/>
      <c r="J58" s="477"/>
      <c r="K58" s="478"/>
      <c r="L58" s="487"/>
      <c r="M58" s="464" t="s">
        <v>13</v>
      </c>
      <c r="N58" s="488"/>
      <c r="O58" s="571">
        <v>0</v>
      </c>
      <c r="P58" s="572">
        <v>800000</v>
      </c>
      <c r="Q58" s="479">
        <f t="shared" si="25"/>
        <v>0</v>
      </c>
      <c r="R58" s="278"/>
      <c r="S58" s="279"/>
      <c r="T58" s="466"/>
      <c r="U58" s="418">
        <v>1300000</v>
      </c>
      <c r="V58" s="573"/>
      <c r="W58" s="574"/>
      <c r="X58" s="575"/>
      <c r="Y58" s="576"/>
      <c r="Z58" s="576"/>
      <c r="AA58" s="577">
        <f t="shared" si="26"/>
        <v>0</v>
      </c>
      <c r="AB58" s="578">
        <f t="shared" si="27"/>
        <v>0</v>
      </c>
      <c r="AC58" s="578"/>
      <c r="AD58" s="545">
        <f t="shared" si="28"/>
        <v>0</v>
      </c>
      <c r="AE58" s="579"/>
      <c r="AF58" s="580"/>
      <c r="AG58" s="580"/>
      <c r="AH58" s="580"/>
      <c r="AI58" s="581"/>
      <c r="AJ58" s="582">
        <f t="shared" si="29"/>
        <v>0</v>
      </c>
      <c r="AK58" s="583"/>
      <c r="AL58" s="546" t="s">
        <v>4570</v>
      </c>
      <c r="AM58" s="468" t="str">
        <f t="shared" si="22"/>
        <v/>
      </c>
      <c r="AN58" s="469" t="str">
        <f t="shared" si="14"/>
        <v/>
      </c>
      <c r="AO58" s="463" t="s">
        <v>4454</v>
      </c>
      <c r="AP58" s="463"/>
      <c r="AR58" s="63">
        <f>U59</f>
        <v>0</v>
      </c>
      <c r="AS58" s="64"/>
      <c r="AT58" s="65"/>
      <c r="AU58" s="66"/>
      <c r="AV58" s="67" t="e">
        <f>#REF!-#REF!</f>
        <v>#REF!</v>
      </c>
    </row>
    <row r="59" spans="1:48" s="470" customFormat="1" ht="25.5" customHeight="1" outlineLevel="2">
      <c r="A59" s="463" t="s">
        <v>4454</v>
      </c>
      <c r="B59" s="485" t="s">
        <v>4530</v>
      </c>
      <c r="C59" s="472" t="s">
        <v>4515</v>
      </c>
      <c r="D59" s="463" t="s">
        <v>4454</v>
      </c>
      <c r="E59" s="473" t="s">
        <v>4461</v>
      </c>
      <c r="F59" s="474" t="s">
        <v>5474</v>
      </c>
      <c r="G59" s="475"/>
      <c r="H59" s="486" t="s">
        <v>5479</v>
      </c>
      <c r="I59" s="476"/>
      <c r="J59" s="477"/>
      <c r="K59" s="437"/>
      <c r="L59" s="487"/>
      <c r="M59" s="464" t="s">
        <v>13</v>
      </c>
      <c r="N59" s="488"/>
      <c r="O59" s="280">
        <v>0</v>
      </c>
      <c r="P59" s="465"/>
      <c r="Q59" s="263">
        <f t="shared" si="25"/>
        <v>0</v>
      </c>
      <c r="R59" s="278"/>
      <c r="S59" s="279"/>
      <c r="T59" s="466"/>
      <c r="U59" s="418">
        <v>0</v>
      </c>
      <c r="V59" s="61"/>
      <c r="W59" s="68"/>
      <c r="X59" s="79"/>
      <c r="Y59" s="70"/>
      <c r="Z59" s="70"/>
      <c r="AA59" s="63">
        <f t="shared" si="26"/>
        <v>0</v>
      </c>
      <c r="AB59" s="72">
        <f t="shared" si="27"/>
        <v>0</v>
      </c>
      <c r="AC59" s="267"/>
      <c r="AD59" s="545">
        <f t="shared" si="28"/>
        <v>0</v>
      </c>
      <c r="AE59" s="62"/>
      <c r="AF59" s="73"/>
      <c r="AG59" s="73"/>
      <c r="AH59" s="73"/>
      <c r="AI59" s="74"/>
      <c r="AJ59" s="52">
        <f t="shared" si="29"/>
        <v>0</v>
      </c>
      <c r="AK59" s="467"/>
      <c r="AL59" s="546"/>
      <c r="AM59" s="468" t="str">
        <f t="shared" si="22"/>
        <v/>
      </c>
      <c r="AN59" s="469" t="str">
        <f t="shared" si="14"/>
        <v/>
      </c>
      <c r="AO59" s="463" t="s">
        <v>4454</v>
      </c>
      <c r="AP59" s="463"/>
      <c r="AR59" s="63">
        <f>U60</f>
        <v>0</v>
      </c>
      <c r="AS59" s="64"/>
      <c r="AT59" s="65"/>
      <c r="AU59" s="66"/>
      <c r="AV59" s="67" t="e">
        <f>#REF!-#REF!</f>
        <v>#REF!</v>
      </c>
    </row>
    <row r="60" spans="1:48" ht="25.5" customHeight="1" outlineLevel="2">
      <c r="A60" s="291" t="s">
        <v>4454</v>
      </c>
      <c r="B60" s="569" t="s">
        <v>4530</v>
      </c>
      <c r="C60" s="458" t="s">
        <v>4515</v>
      </c>
      <c r="D60" s="291" t="s">
        <v>4454</v>
      </c>
      <c r="E60" s="473" t="s">
        <v>4461</v>
      </c>
      <c r="F60" s="428" t="s">
        <v>5474</v>
      </c>
      <c r="G60" s="475"/>
      <c r="H60" s="486" t="s">
        <v>5480</v>
      </c>
      <c r="I60" s="411"/>
      <c r="J60" s="459"/>
      <c r="K60" s="560"/>
      <c r="L60" s="413"/>
      <c r="M60" s="464" t="s">
        <v>13</v>
      </c>
      <c r="N60" s="415"/>
      <c r="O60" s="280">
        <v>1000000</v>
      </c>
      <c r="P60" s="465"/>
      <c r="Q60" s="263">
        <f t="shared" si="25"/>
        <v>0</v>
      </c>
      <c r="R60" s="284"/>
      <c r="S60" s="285"/>
      <c r="T60" s="466"/>
      <c r="U60" s="418">
        <v>0</v>
      </c>
      <c r="V60" s="43"/>
      <c r="W60" s="44"/>
      <c r="X60" s="131"/>
      <c r="Y60" s="46"/>
      <c r="Z60" s="46"/>
      <c r="AA60" s="129">
        <f t="shared" si="26"/>
        <v>0</v>
      </c>
      <c r="AB60" s="48">
        <f t="shared" si="27"/>
        <v>0</v>
      </c>
      <c r="AC60" s="265"/>
      <c r="AD60" s="424">
        <f t="shared" si="28"/>
        <v>0</v>
      </c>
      <c r="AE60" s="49"/>
      <c r="AF60" s="50"/>
      <c r="AG60" s="50"/>
      <c r="AH60" s="50"/>
      <c r="AI60" s="51"/>
      <c r="AJ60" s="52">
        <f t="shared" si="29"/>
        <v>0</v>
      </c>
      <c r="AK60" s="462"/>
      <c r="AL60" s="442" t="s">
        <v>4536</v>
      </c>
      <c r="AM60" s="308" t="str">
        <f t="shared" si="22"/>
        <v/>
      </c>
      <c r="AN60" s="369" t="str">
        <f t="shared" si="14"/>
        <v/>
      </c>
      <c r="AO60" s="291" t="s">
        <v>4454</v>
      </c>
      <c r="AR60" s="129">
        <f>U61+AB60</f>
        <v>0</v>
      </c>
      <c r="AS60" s="54"/>
      <c r="AT60" s="55"/>
      <c r="AU60" s="41"/>
      <c r="AV60" s="57" t="e">
        <f>#REF!-#REF!</f>
        <v>#REF!</v>
      </c>
    </row>
    <row r="61" spans="1:48" s="470" customFormat="1" ht="25.5" customHeight="1" outlineLevel="2">
      <c r="A61" s="463" t="s">
        <v>4454</v>
      </c>
      <c r="B61" s="485" t="s">
        <v>4530</v>
      </c>
      <c r="C61" s="472" t="s">
        <v>4515</v>
      </c>
      <c r="D61" s="463" t="s">
        <v>4454</v>
      </c>
      <c r="E61" s="473" t="s">
        <v>4461</v>
      </c>
      <c r="F61" s="474" t="s">
        <v>5474</v>
      </c>
      <c r="G61" s="475"/>
      <c r="H61" s="570" t="s">
        <v>5481</v>
      </c>
      <c r="I61" s="476"/>
      <c r="J61" s="477"/>
      <c r="K61" s="437"/>
      <c r="L61" s="487"/>
      <c r="M61" s="464" t="s">
        <v>13</v>
      </c>
      <c r="N61" s="488"/>
      <c r="O61" s="280">
        <v>0</v>
      </c>
      <c r="P61" s="465"/>
      <c r="Q61" s="263">
        <f t="shared" si="25"/>
        <v>0</v>
      </c>
      <c r="R61" s="278"/>
      <c r="S61" s="279"/>
      <c r="T61" s="466"/>
      <c r="U61" s="418">
        <v>0</v>
      </c>
      <c r="V61" s="61"/>
      <c r="W61" s="68"/>
      <c r="X61" s="79"/>
      <c r="Y61" s="70"/>
      <c r="Z61" s="70"/>
      <c r="AA61" s="63">
        <f t="shared" si="26"/>
        <v>0</v>
      </c>
      <c r="AB61" s="72">
        <f>SUM(AE61:AI61)</f>
        <v>0</v>
      </c>
      <c r="AC61" s="267"/>
      <c r="AD61" s="545">
        <f t="shared" si="28"/>
        <v>0</v>
      </c>
      <c r="AE61" s="62"/>
      <c r="AF61" s="73"/>
      <c r="AG61" s="73"/>
      <c r="AH61" s="73"/>
      <c r="AI61" s="74"/>
      <c r="AJ61" s="52">
        <f t="shared" si="29"/>
        <v>0</v>
      </c>
      <c r="AK61" s="467"/>
      <c r="AL61" s="546"/>
      <c r="AM61" s="468" t="str">
        <f t="shared" si="22"/>
        <v/>
      </c>
      <c r="AN61" s="469" t="str">
        <f t="shared" si="14"/>
        <v/>
      </c>
      <c r="AO61" s="463" t="s">
        <v>4454</v>
      </c>
      <c r="AP61" s="463"/>
      <c r="AR61" s="63">
        <f>U62+AB61</f>
        <v>0</v>
      </c>
      <c r="AS61" s="64"/>
      <c r="AT61" s="65"/>
      <c r="AU61" s="66"/>
      <c r="AV61" s="67" t="e">
        <f>#REF!-#REF!</f>
        <v>#REF!</v>
      </c>
    </row>
    <row r="62" spans="1:48" s="470" customFormat="1" ht="25.5" customHeight="1" outlineLevel="2">
      <c r="A62" s="463" t="s">
        <v>4454</v>
      </c>
      <c r="B62" s="485" t="s">
        <v>4530</v>
      </c>
      <c r="C62" s="472" t="s">
        <v>4515</v>
      </c>
      <c r="D62" s="463" t="s">
        <v>4454</v>
      </c>
      <c r="E62" s="473" t="s">
        <v>4534</v>
      </c>
      <c r="F62" s="474" t="s">
        <v>5474</v>
      </c>
      <c r="G62" s="475"/>
      <c r="H62" s="486" t="s">
        <v>5482</v>
      </c>
      <c r="I62" s="476"/>
      <c r="J62" s="477"/>
      <c r="K62" s="437"/>
      <c r="L62" s="487"/>
      <c r="M62" s="464" t="s">
        <v>13</v>
      </c>
      <c r="N62" s="488"/>
      <c r="O62" s="280">
        <v>0</v>
      </c>
      <c r="P62" s="465"/>
      <c r="Q62" s="263">
        <f t="shared" si="25"/>
        <v>0</v>
      </c>
      <c r="R62" s="278"/>
      <c r="S62" s="584"/>
      <c r="T62" s="466"/>
      <c r="U62" s="418">
        <v>0</v>
      </c>
      <c r="V62" s="61"/>
      <c r="W62" s="68"/>
      <c r="X62" s="79"/>
      <c r="Y62" s="70"/>
      <c r="Z62" s="70"/>
      <c r="AA62" s="63">
        <f t="shared" si="26"/>
        <v>0</v>
      </c>
      <c r="AB62" s="72">
        <f>SUM(AE62:AI62)+AJ62</f>
        <v>0</v>
      </c>
      <c r="AC62" s="267"/>
      <c r="AD62" s="545">
        <f t="shared" si="28"/>
        <v>0</v>
      </c>
      <c r="AE62" s="62"/>
      <c r="AF62" s="73"/>
      <c r="AG62" s="73"/>
      <c r="AH62" s="73"/>
      <c r="AI62" s="74"/>
      <c r="AJ62" s="52">
        <f t="shared" si="29"/>
        <v>0</v>
      </c>
      <c r="AK62" s="467"/>
      <c r="AL62" s="546"/>
      <c r="AM62" s="468" t="str">
        <f t="shared" si="22"/>
        <v/>
      </c>
      <c r="AN62" s="469" t="str">
        <f t="shared" si="14"/>
        <v/>
      </c>
      <c r="AO62" s="463" t="s">
        <v>4454</v>
      </c>
      <c r="AP62" s="463"/>
      <c r="AR62" s="63">
        <f>U63</f>
        <v>2500000</v>
      </c>
      <c r="AS62" s="64"/>
      <c r="AT62" s="65"/>
      <c r="AU62" s="144"/>
      <c r="AV62" s="67" t="e">
        <f>#REF!-#REF!</f>
        <v>#REF!</v>
      </c>
    </row>
    <row r="63" spans="1:48" ht="25.5" customHeight="1" outlineLevel="2">
      <c r="A63" s="291">
        <v>2311</v>
      </c>
      <c r="B63" s="569" t="s">
        <v>4530</v>
      </c>
      <c r="C63" s="458" t="s">
        <v>4515</v>
      </c>
      <c r="D63" s="291">
        <v>2311</v>
      </c>
      <c r="E63" s="407" t="s">
        <v>4534</v>
      </c>
      <c r="F63" s="428" t="s">
        <v>5474</v>
      </c>
      <c r="G63" s="409"/>
      <c r="H63" s="410" t="s">
        <v>5483</v>
      </c>
      <c r="I63" s="411">
        <v>23</v>
      </c>
      <c r="J63" s="459" t="s">
        <v>4504</v>
      </c>
      <c r="K63" s="460">
        <v>48</v>
      </c>
      <c r="L63" s="413">
        <v>44290</v>
      </c>
      <c r="M63" s="414" t="s">
        <v>13</v>
      </c>
      <c r="N63" s="415">
        <v>44479</v>
      </c>
      <c r="O63" s="280">
        <v>2500000</v>
      </c>
      <c r="P63" s="465">
        <v>5300000</v>
      </c>
      <c r="Q63" s="263">
        <f t="shared" si="25"/>
        <v>2500000</v>
      </c>
      <c r="R63" s="284"/>
      <c r="S63" s="59">
        <v>2500000</v>
      </c>
      <c r="T63" s="466">
        <v>5300000</v>
      </c>
      <c r="U63" s="418">
        <v>2500000</v>
      </c>
      <c r="V63" s="43"/>
      <c r="W63" s="44"/>
      <c r="X63" s="58" t="s">
        <v>4506</v>
      </c>
      <c r="Y63" s="46"/>
      <c r="Z63" s="46"/>
      <c r="AA63" s="129">
        <f t="shared" si="26"/>
        <v>2500000</v>
      </c>
      <c r="AB63" s="48">
        <f>SUM(AE63:AI63)+AJ63</f>
        <v>2500000</v>
      </c>
      <c r="AC63" s="265"/>
      <c r="AD63" s="424">
        <f t="shared" si="28"/>
        <v>0</v>
      </c>
      <c r="AE63" s="145"/>
      <c r="AF63" s="50"/>
      <c r="AG63" s="50"/>
      <c r="AH63" s="50"/>
      <c r="AI63" s="60"/>
      <c r="AJ63" s="52">
        <f t="shared" si="29"/>
        <v>2500000</v>
      </c>
      <c r="AK63" s="462"/>
      <c r="AL63" s="396" t="s">
        <v>5439</v>
      </c>
      <c r="AM63" s="308" t="str">
        <f t="shared" si="22"/>
        <v>2311</v>
      </c>
      <c r="AN63" s="369" t="str">
        <f t="shared" si="14"/>
        <v>2311</v>
      </c>
      <c r="AO63" s="291">
        <v>2311</v>
      </c>
      <c r="AR63" s="129">
        <f t="shared" ref="AR63:AR69" si="30">U64+AB63</f>
        <v>3000000</v>
      </c>
      <c r="AS63" s="54"/>
      <c r="AT63" s="55"/>
      <c r="AU63" s="56"/>
      <c r="AV63" s="57" t="e">
        <f>#REF!-#REF!</f>
        <v>#REF!</v>
      </c>
    </row>
    <row r="64" spans="1:48" ht="25.5" customHeight="1" outlineLevel="2">
      <c r="A64" s="291">
        <v>2312</v>
      </c>
      <c r="B64" s="569" t="s">
        <v>4530</v>
      </c>
      <c r="C64" s="458" t="s">
        <v>4515</v>
      </c>
      <c r="D64" s="291">
        <v>2312</v>
      </c>
      <c r="E64" s="407" t="s">
        <v>4534</v>
      </c>
      <c r="F64" s="428" t="s">
        <v>5474</v>
      </c>
      <c r="G64" s="409"/>
      <c r="H64" s="410" t="s">
        <v>5484</v>
      </c>
      <c r="I64" s="411">
        <v>23</v>
      </c>
      <c r="J64" s="459" t="s">
        <v>4515</v>
      </c>
      <c r="K64" s="460">
        <v>49</v>
      </c>
      <c r="L64" s="413">
        <v>44233</v>
      </c>
      <c r="M64" s="464" t="s">
        <v>13</v>
      </c>
      <c r="N64" s="415">
        <v>44268</v>
      </c>
      <c r="O64" s="280">
        <v>500000</v>
      </c>
      <c r="P64" s="465">
        <v>500000</v>
      </c>
      <c r="Q64" s="263">
        <f>R64+S64</f>
        <v>500000</v>
      </c>
      <c r="R64" s="284"/>
      <c r="S64" s="59">
        <v>500000</v>
      </c>
      <c r="T64" s="466">
        <v>500000</v>
      </c>
      <c r="U64" s="418">
        <v>500000</v>
      </c>
      <c r="V64" s="43"/>
      <c r="W64" s="44"/>
      <c r="X64" s="58" t="s">
        <v>4506</v>
      </c>
      <c r="Y64" s="46"/>
      <c r="Z64" s="46"/>
      <c r="AA64" s="129">
        <f t="shared" si="26"/>
        <v>500000</v>
      </c>
      <c r="AB64" s="48">
        <f>SUM(AE64:AI64)+AJ64</f>
        <v>500000</v>
      </c>
      <c r="AC64" s="265"/>
      <c r="AD64" s="424">
        <f t="shared" si="28"/>
        <v>0</v>
      </c>
      <c r="AE64" s="145"/>
      <c r="AF64" s="50"/>
      <c r="AG64" s="50"/>
      <c r="AH64" s="50"/>
      <c r="AI64" s="60"/>
      <c r="AJ64" s="52">
        <f t="shared" si="29"/>
        <v>500000</v>
      </c>
      <c r="AK64" s="462"/>
      <c r="AL64" s="396" t="s">
        <v>5439</v>
      </c>
      <c r="AM64" s="308" t="str">
        <f t="shared" si="22"/>
        <v>2312</v>
      </c>
      <c r="AN64" s="369" t="str">
        <f t="shared" si="14"/>
        <v>2312</v>
      </c>
      <c r="AO64" s="291">
        <v>2312</v>
      </c>
      <c r="AR64" s="129">
        <f t="shared" si="30"/>
        <v>800000</v>
      </c>
      <c r="AS64" s="54"/>
      <c r="AT64" s="55"/>
      <c r="AU64" s="56"/>
      <c r="AV64" s="57" t="e">
        <f>#REF!-#REF!</f>
        <v>#REF!</v>
      </c>
    </row>
    <row r="65" spans="1:48" customFormat="1" ht="25.5" customHeight="1" outlineLevel="2">
      <c r="A65" s="542">
        <v>2313</v>
      </c>
      <c r="B65" s="569" t="s">
        <v>4530</v>
      </c>
      <c r="C65" s="458" t="s">
        <v>4515</v>
      </c>
      <c r="D65" s="542">
        <v>2313</v>
      </c>
      <c r="E65" s="407" t="s">
        <v>4534</v>
      </c>
      <c r="F65" s="428" t="s">
        <v>5474</v>
      </c>
      <c r="G65" s="409"/>
      <c r="H65" s="410" t="s">
        <v>5485</v>
      </c>
      <c r="I65" s="411">
        <v>23</v>
      </c>
      <c r="J65" s="459" t="s">
        <v>4532</v>
      </c>
      <c r="K65" s="460">
        <v>50</v>
      </c>
      <c r="L65" s="413">
        <v>44486</v>
      </c>
      <c r="M65" s="464" t="s">
        <v>13</v>
      </c>
      <c r="N65" s="415">
        <v>44521</v>
      </c>
      <c r="O65" s="280">
        <v>300000</v>
      </c>
      <c r="P65" s="465">
        <v>750000</v>
      </c>
      <c r="Q65" s="263">
        <f t="shared" si="25"/>
        <v>300000</v>
      </c>
      <c r="R65" s="284"/>
      <c r="S65" s="59">
        <v>300000</v>
      </c>
      <c r="T65" s="466">
        <v>750000</v>
      </c>
      <c r="U65" s="418">
        <v>300000</v>
      </c>
      <c r="V65" s="43"/>
      <c r="W65" s="44"/>
      <c r="X65" s="58" t="s">
        <v>4506</v>
      </c>
      <c r="Y65" s="46"/>
      <c r="Z65" s="46"/>
      <c r="AA65" s="129">
        <f t="shared" si="26"/>
        <v>300000</v>
      </c>
      <c r="AB65" s="48">
        <f>SUM(AE65:AI65)+AJ65</f>
        <v>300000</v>
      </c>
      <c r="AC65" s="265"/>
      <c r="AD65" s="424">
        <f t="shared" si="28"/>
        <v>0</v>
      </c>
      <c r="AE65" s="49"/>
      <c r="AF65" s="50"/>
      <c r="AG65" s="50"/>
      <c r="AH65" s="50"/>
      <c r="AI65" s="51"/>
      <c r="AJ65" s="52">
        <f t="shared" si="29"/>
        <v>300000</v>
      </c>
      <c r="AK65" s="462"/>
      <c r="AL65" s="396" t="s">
        <v>5439</v>
      </c>
      <c r="AM65" s="308" t="str">
        <f t="shared" si="22"/>
        <v>2313</v>
      </c>
      <c r="AN65" s="369" t="str">
        <f t="shared" ref="AN65:AN96" si="31">I65&amp;J65</f>
        <v>2313</v>
      </c>
      <c r="AO65" s="542">
        <v>2313</v>
      </c>
      <c r="AP65" s="542"/>
      <c r="AR65" s="130">
        <f t="shared" si="30"/>
        <v>300000</v>
      </c>
      <c r="AS65" s="54"/>
      <c r="AT65" s="55"/>
      <c r="AU65" s="41"/>
      <c r="AV65" s="57" t="e">
        <f>#REF!-#REF!</f>
        <v>#REF!</v>
      </c>
    </row>
    <row r="66" spans="1:48" s="605" customFormat="1" ht="25.5" customHeight="1" outlineLevel="2">
      <c r="A66" s="585" t="s">
        <v>4454</v>
      </c>
      <c r="B66" s="586" t="s">
        <v>4530</v>
      </c>
      <c r="C66" s="587" t="s">
        <v>4515</v>
      </c>
      <c r="D66" s="585" t="s">
        <v>4454</v>
      </c>
      <c r="E66" s="588" t="s">
        <v>4534</v>
      </c>
      <c r="F66" s="589" t="s">
        <v>5474</v>
      </c>
      <c r="G66" s="590"/>
      <c r="H66" s="591" t="s">
        <v>5486</v>
      </c>
      <c r="I66" s="592"/>
      <c r="J66" s="593"/>
      <c r="K66" s="594"/>
      <c r="L66" s="595"/>
      <c r="M66" s="464" t="s">
        <v>13</v>
      </c>
      <c r="N66" s="596"/>
      <c r="O66" s="280">
        <v>0</v>
      </c>
      <c r="P66" s="465"/>
      <c r="Q66" s="597">
        <f t="shared" si="25"/>
        <v>0</v>
      </c>
      <c r="R66" s="598"/>
      <c r="S66" s="599"/>
      <c r="T66" s="466"/>
      <c r="U66" s="418">
        <v>0</v>
      </c>
      <c r="V66" s="147"/>
      <c r="W66" s="148"/>
      <c r="X66" s="149"/>
      <c r="Y66" s="150"/>
      <c r="Z66" s="150"/>
      <c r="AA66" s="151">
        <f t="shared" si="26"/>
        <v>0</v>
      </c>
      <c r="AB66" s="152">
        <f>SUM(AE66:AI66)</f>
        <v>0</v>
      </c>
      <c r="AC66" s="277"/>
      <c r="AD66" s="600">
        <f t="shared" si="28"/>
        <v>0</v>
      </c>
      <c r="AE66" s="153"/>
      <c r="AF66" s="154"/>
      <c r="AG66" s="154"/>
      <c r="AH66" s="154"/>
      <c r="AI66" s="155"/>
      <c r="AJ66" s="156">
        <f t="shared" si="29"/>
        <v>0</v>
      </c>
      <c r="AK66" s="601"/>
      <c r="AL66" s="602"/>
      <c r="AM66" s="603" t="str">
        <f t="shared" si="22"/>
        <v/>
      </c>
      <c r="AN66" s="604" t="str">
        <f t="shared" si="31"/>
        <v/>
      </c>
      <c r="AO66" s="585" t="s">
        <v>4454</v>
      </c>
      <c r="AP66" s="585"/>
      <c r="AR66" s="151">
        <f t="shared" si="30"/>
        <v>0</v>
      </c>
      <c r="AS66" s="157"/>
      <c r="AT66" s="158"/>
      <c r="AU66" s="146"/>
      <c r="AV66" s="159" t="e">
        <f>#REF!-#REF!</f>
        <v>#REF!</v>
      </c>
    </row>
    <row r="67" spans="1:48" s="605" customFormat="1" ht="25.5" customHeight="1" outlineLevel="2">
      <c r="A67" s="585" t="s">
        <v>4454</v>
      </c>
      <c r="B67" s="586" t="s">
        <v>4530</v>
      </c>
      <c r="C67" s="587" t="s">
        <v>4515</v>
      </c>
      <c r="D67" s="585" t="s">
        <v>4454</v>
      </c>
      <c r="E67" s="588" t="s">
        <v>4534</v>
      </c>
      <c r="F67" s="589" t="s">
        <v>5474</v>
      </c>
      <c r="G67" s="590"/>
      <c r="H67" s="591" t="s">
        <v>5487</v>
      </c>
      <c r="I67" s="592"/>
      <c r="J67" s="593"/>
      <c r="K67" s="594"/>
      <c r="L67" s="595"/>
      <c r="M67" s="464" t="s">
        <v>13</v>
      </c>
      <c r="N67" s="596"/>
      <c r="O67" s="280">
        <v>0</v>
      </c>
      <c r="P67" s="465"/>
      <c r="Q67" s="597">
        <f t="shared" si="25"/>
        <v>0</v>
      </c>
      <c r="R67" s="598"/>
      <c r="S67" s="599"/>
      <c r="T67" s="466"/>
      <c r="U67" s="418">
        <v>0</v>
      </c>
      <c r="V67" s="147"/>
      <c r="W67" s="148"/>
      <c r="X67" s="149"/>
      <c r="Y67" s="150"/>
      <c r="Z67" s="150"/>
      <c r="AA67" s="151">
        <f t="shared" si="26"/>
        <v>0</v>
      </c>
      <c r="AB67" s="152">
        <f>SUM(AE67:AI67)</f>
        <v>0</v>
      </c>
      <c r="AC67" s="277"/>
      <c r="AD67" s="600">
        <f t="shared" si="28"/>
        <v>0</v>
      </c>
      <c r="AE67" s="153"/>
      <c r="AF67" s="154"/>
      <c r="AG67" s="154"/>
      <c r="AH67" s="154"/>
      <c r="AI67" s="155"/>
      <c r="AJ67" s="156">
        <f t="shared" si="29"/>
        <v>0</v>
      </c>
      <c r="AK67" s="601"/>
      <c r="AL67" s="602"/>
      <c r="AM67" s="603" t="str">
        <f t="shared" si="22"/>
        <v/>
      </c>
      <c r="AN67" s="604" t="str">
        <f t="shared" si="31"/>
        <v/>
      </c>
      <c r="AO67" s="585" t="s">
        <v>4454</v>
      </c>
      <c r="AP67" s="585"/>
      <c r="AR67" s="151">
        <f t="shared" si="30"/>
        <v>0</v>
      </c>
      <c r="AS67" s="157"/>
      <c r="AT67" s="158"/>
      <c r="AU67" s="146"/>
      <c r="AV67" s="159" t="e">
        <f>#REF!-#REF!</f>
        <v>#REF!</v>
      </c>
    </row>
    <row r="68" spans="1:48" s="605" customFormat="1" ht="25.5" customHeight="1" outlineLevel="2">
      <c r="A68" s="585" t="s">
        <v>4454</v>
      </c>
      <c r="B68" s="586" t="s">
        <v>4530</v>
      </c>
      <c r="C68" s="587" t="s">
        <v>4515</v>
      </c>
      <c r="D68" s="585" t="s">
        <v>4454</v>
      </c>
      <c r="E68" s="588" t="s">
        <v>4534</v>
      </c>
      <c r="F68" s="589" t="s">
        <v>5474</v>
      </c>
      <c r="G68" s="590"/>
      <c r="H68" s="591" t="s">
        <v>5488</v>
      </c>
      <c r="I68" s="592"/>
      <c r="J68" s="593"/>
      <c r="K68" s="594"/>
      <c r="L68" s="595"/>
      <c r="M68" s="464" t="s">
        <v>13</v>
      </c>
      <c r="N68" s="596"/>
      <c r="O68" s="280">
        <v>0</v>
      </c>
      <c r="P68" s="465"/>
      <c r="Q68" s="597">
        <f t="shared" si="25"/>
        <v>0</v>
      </c>
      <c r="R68" s="598"/>
      <c r="S68" s="599"/>
      <c r="T68" s="466"/>
      <c r="U68" s="418">
        <v>0</v>
      </c>
      <c r="V68" s="147"/>
      <c r="W68" s="148"/>
      <c r="X68" s="149"/>
      <c r="Y68" s="150"/>
      <c r="Z68" s="150"/>
      <c r="AA68" s="151">
        <f t="shared" si="26"/>
        <v>0</v>
      </c>
      <c r="AB68" s="152">
        <f>SUM(AE68:AI68)</f>
        <v>0</v>
      </c>
      <c r="AC68" s="277"/>
      <c r="AD68" s="600">
        <f t="shared" si="28"/>
        <v>0</v>
      </c>
      <c r="AE68" s="153"/>
      <c r="AF68" s="154"/>
      <c r="AG68" s="154"/>
      <c r="AH68" s="154"/>
      <c r="AI68" s="155"/>
      <c r="AJ68" s="156">
        <f t="shared" si="29"/>
        <v>0</v>
      </c>
      <c r="AK68" s="601"/>
      <c r="AL68" s="602"/>
      <c r="AM68" s="603" t="str">
        <f t="shared" si="22"/>
        <v/>
      </c>
      <c r="AN68" s="604" t="str">
        <f t="shared" si="31"/>
        <v/>
      </c>
      <c r="AO68" s="585" t="s">
        <v>4454</v>
      </c>
      <c r="AP68" s="585"/>
      <c r="AR68" s="151">
        <f t="shared" si="30"/>
        <v>0</v>
      </c>
      <c r="AS68" s="157"/>
      <c r="AT68" s="158"/>
      <c r="AU68" s="146"/>
      <c r="AV68" s="159" t="e">
        <f>#REF!-#REF!</f>
        <v>#REF!</v>
      </c>
    </row>
    <row r="69" spans="1:48" s="605" customFormat="1" ht="25.5" customHeight="1" outlineLevel="2">
      <c r="A69" s="585" t="s">
        <v>4454</v>
      </c>
      <c r="B69" s="586" t="s">
        <v>4530</v>
      </c>
      <c r="C69" s="587" t="s">
        <v>4515</v>
      </c>
      <c r="D69" s="585" t="s">
        <v>4454</v>
      </c>
      <c r="E69" s="588" t="s">
        <v>4534</v>
      </c>
      <c r="F69" s="589" t="s">
        <v>5474</v>
      </c>
      <c r="G69" s="590"/>
      <c r="H69" s="591" t="s">
        <v>5489</v>
      </c>
      <c r="I69" s="592"/>
      <c r="J69" s="593"/>
      <c r="K69" s="594"/>
      <c r="L69" s="595"/>
      <c r="M69" s="464" t="s">
        <v>13</v>
      </c>
      <c r="N69" s="596"/>
      <c r="O69" s="280">
        <v>0</v>
      </c>
      <c r="P69" s="465"/>
      <c r="Q69" s="597">
        <f t="shared" si="25"/>
        <v>0</v>
      </c>
      <c r="R69" s="598"/>
      <c r="S69" s="599"/>
      <c r="T69" s="466"/>
      <c r="U69" s="418">
        <v>0</v>
      </c>
      <c r="V69" s="147"/>
      <c r="W69" s="148"/>
      <c r="X69" s="149"/>
      <c r="Y69" s="150"/>
      <c r="Z69" s="150"/>
      <c r="AA69" s="151">
        <f t="shared" si="26"/>
        <v>0</v>
      </c>
      <c r="AB69" s="152">
        <f>SUM(AE69:AI69)</f>
        <v>0</v>
      </c>
      <c r="AC69" s="277"/>
      <c r="AD69" s="600">
        <f t="shared" si="28"/>
        <v>0</v>
      </c>
      <c r="AE69" s="153"/>
      <c r="AF69" s="154"/>
      <c r="AG69" s="154"/>
      <c r="AH69" s="154"/>
      <c r="AI69" s="155"/>
      <c r="AJ69" s="156">
        <f t="shared" si="29"/>
        <v>0</v>
      </c>
      <c r="AK69" s="601"/>
      <c r="AL69" s="602"/>
      <c r="AM69" s="603" t="str">
        <f t="shared" si="22"/>
        <v/>
      </c>
      <c r="AN69" s="604" t="str">
        <f t="shared" si="31"/>
        <v/>
      </c>
      <c r="AO69" s="585" t="s">
        <v>4454</v>
      </c>
      <c r="AP69" s="585"/>
      <c r="AR69" s="151">
        <f t="shared" si="30"/>
        <v>0</v>
      </c>
      <c r="AS69" s="157"/>
      <c r="AT69" s="158"/>
      <c r="AU69" s="146"/>
      <c r="AV69" s="159" t="e">
        <f>#REF!-#REF!</f>
        <v>#REF!</v>
      </c>
    </row>
    <row r="70" spans="1:48" s="470" customFormat="1" ht="25.5" customHeight="1" outlineLevel="2">
      <c r="A70" s="463" t="s">
        <v>4454</v>
      </c>
      <c r="B70" s="485"/>
      <c r="C70" s="472" t="s">
        <v>4515</v>
      </c>
      <c r="D70" s="463" t="s">
        <v>4454</v>
      </c>
      <c r="E70" s="473"/>
      <c r="F70" s="474" t="s">
        <v>5474</v>
      </c>
      <c r="G70" s="475"/>
      <c r="H70" s="486"/>
      <c r="I70" s="476"/>
      <c r="J70" s="477"/>
      <c r="K70" s="437"/>
      <c r="L70" s="487"/>
      <c r="M70" s="464" t="s">
        <v>13</v>
      </c>
      <c r="N70" s="488"/>
      <c r="O70" s="280">
        <v>0</v>
      </c>
      <c r="P70" s="465"/>
      <c r="Q70" s="263">
        <f t="shared" si="25"/>
        <v>0</v>
      </c>
      <c r="R70" s="278"/>
      <c r="S70" s="279"/>
      <c r="T70" s="466"/>
      <c r="U70" s="418">
        <v>0</v>
      </c>
      <c r="V70" s="61"/>
      <c r="W70" s="68"/>
      <c r="X70" s="79"/>
      <c r="Y70" s="70"/>
      <c r="Z70" s="70"/>
      <c r="AA70" s="63">
        <f t="shared" si="26"/>
        <v>0</v>
      </c>
      <c r="AB70" s="72"/>
      <c r="AC70" s="267"/>
      <c r="AD70" s="545">
        <f t="shared" si="28"/>
        <v>0</v>
      </c>
      <c r="AE70" s="62"/>
      <c r="AF70" s="73"/>
      <c r="AG70" s="73"/>
      <c r="AH70" s="73"/>
      <c r="AI70" s="74"/>
      <c r="AJ70" s="52">
        <f t="shared" si="29"/>
        <v>0</v>
      </c>
      <c r="AK70" s="467"/>
      <c r="AL70" s="546"/>
      <c r="AM70" s="468" t="str">
        <f t="shared" si="22"/>
        <v/>
      </c>
      <c r="AN70" s="469" t="str">
        <f t="shared" si="31"/>
        <v/>
      </c>
      <c r="AO70" s="463" t="s">
        <v>4454</v>
      </c>
      <c r="AP70" s="463"/>
      <c r="AR70" s="63"/>
      <c r="AS70" s="64"/>
      <c r="AT70" s="65"/>
      <c r="AU70" s="66"/>
      <c r="AV70" s="67" t="e">
        <f>#REF!-#REF!</f>
        <v>#REF!</v>
      </c>
    </row>
    <row r="71" spans="1:48" ht="25.5" customHeight="1" outlineLevel="2" thickBot="1">
      <c r="A71" s="291">
        <v>1711</v>
      </c>
      <c r="B71" s="405" t="s">
        <v>4500</v>
      </c>
      <c r="C71" s="458" t="s">
        <v>4515</v>
      </c>
      <c r="D71" s="291">
        <v>1711</v>
      </c>
      <c r="E71" s="407" t="s">
        <v>4512</v>
      </c>
      <c r="F71" s="428" t="s">
        <v>5474</v>
      </c>
      <c r="G71" s="409"/>
      <c r="H71" s="429" t="s">
        <v>5490</v>
      </c>
      <c r="I71" s="411">
        <v>17</v>
      </c>
      <c r="J71" s="459" t="s">
        <v>4504</v>
      </c>
      <c r="K71" s="498"/>
      <c r="L71" s="499">
        <v>44287</v>
      </c>
      <c r="M71" s="464" t="s">
        <v>13</v>
      </c>
      <c r="N71" s="500">
        <v>44286</v>
      </c>
      <c r="O71" s="501">
        <v>2100000</v>
      </c>
      <c r="P71" s="502">
        <v>2600000</v>
      </c>
      <c r="Q71" s="263">
        <f t="shared" si="25"/>
        <v>2100000</v>
      </c>
      <c r="R71" s="284">
        <v>2100000</v>
      </c>
      <c r="S71" s="285"/>
      <c r="T71" s="466">
        <v>2600000</v>
      </c>
      <c r="U71" s="561">
        <v>2100000</v>
      </c>
      <c r="V71" s="43"/>
      <c r="W71" s="44"/>
      <c r="X71" s="45">
        <v>43200</v>
      </c>
      <c r="Y71" s="46"/>
      <c r="Z71" s="160"/>
      <c r="AA71" s="129">
        <f t="shared" si="26"/>
        <v>2100000</v>
      </c>
      <c r="AB71" s="48">
        <f>SUM(AE71:AI71)</f>
        <v>0</v>
      </c>
      <c r="AC71" s="265"/>
      <c r="AD71" s="606">
        <f t="shared" si="28"/>
        <v>0</v>
      </c>
      <c r="AE71" s="49"/>
      <c r="AF71" s="50"/>
      <c r="AG71" s="50"/>
      <c r="AH71" s="50"/>
      <c r="AI71" s="60"/>
      <c r="AJ71" s="161">
        <f t="shared" si="29"/>
        <v>0</v>
      </c>
      <c r="AK71" s="462"/>
      <c r="AL71" s="442"/>
      <c r="AM71" s="308" t="str">
        <f t="shared" si="22"/>
        <v>1711</v>
      </c>
      <c r="AN71" s="369" t="str">
        <f t="shared" si="31"/>
        <v>1711</v>
      </c>
      <c r="AO71" s="291">
        <v>1711</v>
      </c>
      <c r="AR71" s="129">
        <f>U72+AB71</f>
        <v>10350000</v>
      </c>
      <c r="AS71" s="162"/>
      <c r="AT71" s="55"/>
      <c r="AU71" s="56"/>
      <c r="AV71" s="57" t="e">
        <f>#REF!-#REF!</f>
        <v>#REF!</v>
      </c>
    </row>
    <row r="72" spans="1:48" ht="25.5" customHeight="1" outlineLevel="1" thickBot="1">
      <c r="A72" s="291" t="s">
        <v>4454</v>
      </c>
      <c r="B72" s="507"/>
      <c r="C72" s="508">
        <v>12</v>
      </c>
      <c r="D72" s="291" t="s">
        <v>4454</v>
      </c>
      <c r="E72" s="509"/>
      <c r="F72" s="510" t="s">
        <v>5205</v>
      </c>
      <c r="G72" s="511"/>
      <c r="H72" s="512"/>
      <c r="I72" s="513"/>
      <c r="J72" s="514"/>
      <c r="K72" s="515"/>
      <c r="L72" s="516"/>
      <c r="M72" s="517"/>
      <c r="N72" s="518"/>
      <c r="O72" s="519">
        <v>10050000</v>
      </c>
      <c r="P72" s="520">
        <f>SUM(P55:P71)</f>
        <v>13900000</v>
      </c>
      <c r="Q72" s="521">
        <f>SUBTOTAL(9,Q55:Q71)</f>
        <v>9050000</v>
      </c>
      <c r="R72" s="522">
        <f>SUBTOTAL(9,R55:R71)</f>
        <v>2100000</v>
      </c>
      <c r="S72" s="523">
        <f>SUBTOTAL(9,S55:S71)</f>
        <v>6950000</v>
      </c>
      <c r="T72" s="524">
        <v>13900000</v>
      </c>
      <c r="U72" s="548">
        <v>10350000</v>
      </c>
      <c r="V72" s="94"/>
      <c r="W72" s="95"/>
      <c r="X72" s="96"/>
      <c r="Y72" s="97"/>
      <c r="Z72" s="97"/>
      <c r="AA72" s="98">
        <f>SUBTOTAL(9,AA55:AA71)</f>
        <v>9050000</v>
      </c>
      <c r="AB72" s="176">
        <f>SUBTOTAL(9,AB55:AB71)</f>
        <v>6950000</v>
      </c>
      <c r="AC72" s="273"/>
      <c r="AD72" s="526">
        <f>SUM(AE72:AJ72)</f>
        <v>6950000</v>
      </c>
      <c r="AE72" s="100">
        <f>SUBTOTAL(9,AE55:AE71)-AE63-AE57-AE64-AE65</f>
        <v>0</v>
      </c>
      <c r="AF72" s="101">
        <f>SUBTOTAL(9,AF55:AF71)</f>
        <v>0</v>
      </c>
      <c r="AG72" s="101">
        <f>SUBTOTAL(9,AG55:AG71)</f>
        <v>0</v>
      </c>
      <c r="AH72" s="101">
        <f>SUBTOTAL(9,AH55:AH71)</f>
        <v>0</v>
      </c>
      <c r="AI72" s="102">
        <f>SUBTOTAL(9,AI55:AI71)-AI63-AI57-AI64-AI65-AI67-AI68-AI71</f>
        <v>0</v>
      </c>
      <c r="AJ72" s="163">
        <f>SUBTOTAL(9,AJ55:AJ71)</f>
        <v>6950000</v>
      </c>
      <c r="AK72" s="527">
        <f>SUBTOTAL(9,AK55:AK71)</f>
        <v>0</v>
      </c>
      <c r="AL72" s="563"/>
      <c r="AM72" s="308" t="str">
        <f t="shared" si="22"/>
        <v/>
      </c>
      <c r="AN72" s="369" t="str">
        <f t="shared" si="31"/>
        <v/>
      </c>
      <c r="AO72" s="291" t="s">
        <v>4454</v>
      </c>
      <c r="AR72" s="106">
        <f>SUBTOTAL(9,AR55:AR71)</f>
        <v>24300000</v>
      </c>
      <c r="AS72" s="107"/>
      <c r="AT72" s="108">
        <f>SUBTOTAL(9,AT55:AT71)</f>
        <v>0</v>
      </c>
      <c r="AU72" s="109"/>
      <c r="AV72" s="110" t="e">
        <f>SUM(AV55:AV71)</f>
        <v>#REF!</v>
      </c>
    </row>
    <row r="73" spans="1:48" ht="25.5" customHeight="1" outlineLevel="2">
      <c r="A73" s="291">
        <v>2116</v>
      </c>
      <c r="B73" s="569" t="s">
        <v>4530</v>
      </c>
      <c r="C73" s="458" t="s">
        <v>4532</v>
      </c>
      <c r="D73" s="291">
        <v>2116</v>
      </c>
      <c r="E73" s="407" t="s">
        <v>4460</v>
      </c>
      <c r="F73" s="428" t="s">
        <v>5491</v>
      </c>
      <c r="G73" s="409"/>
      <c r="H73" s="429" t="s">
        <v>5492</v>
      </c>
      <c r="I73" s="411">
        <v>21</v>
      </c>
      <c r="J73" s="459" t="s">
        <v>4535</v>
      </c>
      <c r="K73" s="437"/>
      <c r="L73" s="413">
        <v>44303</v>
      </c>
      <c r="M73" s="464" t="s">
        <v>13</v>
      </c>
      <c r="N73" s="415">
        <v>44338</v>
      </c>
      <c r="O73" s="280">
        <v>50000</v>
      </c>
      <c r="P73" s="465">
        <v>50000</v>
      </c>
      <c r="Q73" s="263">
        <f t="shared" ref="Q73:Q78" si="32">R73+S73</f>
        <v>50000</v>
      </c>
      <c r="R73" s="284">
        <v>50000</v>
      </c>
      <c r="S73" s="285"/>
      <c r="T73" s="466">
        <v>50000</v>
      </c>
      <c r="U73" s="418">
        <v>50000</v>
      </c>
      <c r="V73" s="43"/>
      <c r="W73" s="44"/>
      <c r="X73" s="45">
        <f>+N73+14</f>
        <v>44352</v>
      </c>
      <c r="Y73" s="46"/>
      <c r="Z73" s="46"/>
      <c r="AA73" s="129">
        <f>Q73+AB73</f>
        <v>50000</v>
      </c>
      <c r="AB73" s="48">
        <f>SUM(AE73:AI73)+AJ73</f>
        <v>0</v>
      </c>
      <c r="AC73" s="265"/>
      <c r="AD73" s="424">
        <f t="shared" ref="AD73:AD78" si="33">SUM(AE73:AJ73)-AJ73</f>
        <v>0</v>
      </c>
      <c r="AE73" s="49"/>
      <c r="AF73" s="50"/>
      <c r="AG73" s="50"/>
      <c r="AH73" s="50"/>
      <c r="AI73" s="60"/>
      <c r="AJ73" s="52"/>
      <c r="AK73" s="462"/>
      <c r="AL73" s="442" t="s">
        <v>5493</v>
      </c>
      <c r="AM73" s="308" t="str">
        <f t="shared" si="22"/>
        <v>2116</v>
      </c>
      <c r="AN73" s="369" t="str">
        <f t="shared" si="31"/>
        <v>2116</v>
      </c>
      <c r="AO73" s="291">
        <v>2116</v>
      </c>
      <c r="AR73" s="129">
        <f>U74+AB73</f>
        <v>0</v>
      </c>
      <c r="AS73" s="54"/>
      <c r="AT73" s="55"/>
      <c r="AU73" s="56"/>
      <c r="AV73" s="57" t="e">
        <f>#REF!-#REF!</f>
        <v>#REF!</v>
      </c>
    </row>
    <row r="74" spans="1:48" s="470" customFormat="1" ht="25.5" customHeight="1" outlineLevel="2">
      <c r="A74" s="463" t="s">
        <v>4454</v>
      </c>
      <c r="B74" s="485" t="s">
        <v>4530</v>
      </c>
      <c r="C74" s="472" t="s">
        <v>4532</v>
      </c>
      <c r="D74" s="463" t="s">
        <v>4454</v>
      </c>
      <c r="E74" s="473" t="s">
        <v>4461</v>
      </c>
      <c r="F74" s="474" t="s">
        <v>5491</v>
      </c>
      <c r="G74" s="475"/>
      <c r="H74" s="570" t="s">
        <v>5494</v>
      </c>
      <c r="I74" s="476"/>
      <c r="J74" s="477"/>
      <c r="K74" s="437"/>
      <c r="L74" s="487"/>
      <c r="M74" s="464" t="s">
        <v>13</v>
      </c>
      <c r="N74" s="488"/>
      <c r="O74" s="280">
        <v>0</v>
      </c>
      <c r="P74" s="465"/>
      <c r="Q74" s="263">
        <f t="shared" si="32"/>
        <v>0</v>
      </c>
      <c r="R74" s="278"/>
      <c r="S74" s="279"/>
      <c r="T74" s="466"/>
      <c r="U74" s="418">
        <v>0</v>
      </c>
      <c r="V74" s="61"/>
      <c r="W74" s="68"/>
      <c r="X74" s="79"/>
      <c r="Y74" s="70"/>
      <c r="Z74" s="70"/>
      <c r="AA74" s="71">
        <f>Q74+AB74+AJ74-AJ74</f>
        <v>0</v>
      </c>
      <c r="AB74" s="48">
        <f>SUM(AE74:AI74)+AJ74</f>
        <v>0</v>
      </c>
      <c r="AC74" s="265"/>
      <c r="AD74" s="545">
        <f t="shared" si="33"/>
        <v>0</v>
      </c>
      <c r="AE74" s="62"/>
      <c r="AF74" s="73"/>
      <c r="AG74" s="73"/>
      <c r="AH74" s="73"/>
      <c r="AI74" s="74"/>
      <c r="AJ74" s="75"/>
      <c r="AK74" s="467"/>
      <c r="AL74" s="546" t="s">
        <v>4536</v>
      </c>
      <c r="AM74" s="468" t="str">
        <f t="shared" si="22"/>
        <v/>
      </c>
      <c r="AN74" s="469" t="str">
        <f t="shared" si="31"/>
        <v/>
      </c>
      <c r="AO74" s="463" t="s">
        <v>4454</v>
      </c>
      <c r="AP74" s="463"/>
      <c r="AR74" s="71"/>
      <c r="AS74" s="64"/>
      <c r="AT74" s="65"/>
      <c r="AU74" s="66"/>
      <c r="AV74" s="67" t="e">
        <f>#REF!-#REF!</f>
        <v>#REF!</v>
      </c>
    </row>
    <row r="75" spans="1:48" s="470" customFormat="1" ht="25.5" customHeight="1" outlineLevel="2">
      <c r="A75" s="463" t="s">
        <v>4454</v>
      </c>
      <c r="B75" s="485" t="s">
        <v>4530</v>
      </c>
      <c r="C75" s="472" t="s">
        <v>4532</v>
      </c>
      <c r="D75" s="463" t="s">
        <v>4454</v>
      </c>
      <c r="E75" s="473" t="s">
        <v>4461</v>
      </c>
      <c r="F75" s="474" t="s">
        <v>5491</v>
      </c>
      <c r="G75" s="475"/>
      <c r="H75" s="570" t="s">
        <v>5495</v>
      </c>
      <c r="I75" s="476"/>
      <c r="J75" s="477"/>
      <c r="K75" s="478"/>
      <c r="L75" s="487"/>
      <c r="M75" s="464" t="s">
        <v>13</v>
      </c>
      <c r="N75" s="488"/>
      <c r="O75" s="280">
        <v>0</v>
      </c>
      <c r="P75" s="465"/>
      <c r="Q75" s="479">
        <f t="shared" si="32"/>
        <v>0</v>
      </c>
      <c r="R75" s="278"/>
      <c r="S75" s="279"/>
      <c r="T75" s="466"/>
      <c r="U75" s="418">
        <v>0</v>
      </c>
      <c r="V75" s="61"/>
      <c r="W75" s="62"/>
      <c r="X75" s="79"/>
      <c r="Y75" s="141"/>
      <c r="Z75" s="70"/>
      <c r="AA75" s="71">
        <f>Q75+AB75-AJ75</f>
        <v>0</v>
      </c>
      <c r="AB75" s="72">
        <f>SUM(AE75:AI75)+AJ75</f>
        <v>0</v>
      </c>
      <c r="AC75" s="267"/>
      <c r="AD75" s="545">
        <f t="shared" si="33"/>
        <v>0</v>
      </c>
      <c r="AE75" s="62"/>
      <c r="AF75" s="73"/>
      <c r="AG75" s="73"/>
      <c r="AH75" s="73"/>
      <c r="AI75" s="74"/>
      <c r="AJ75" s="75">
        <f>+S75</f>
        <v>0</v>
      </c>
      <c r="AK75" s="467"/>
      <c r="AL75" s="546" t="s">
        <v>4537</v>
      </c>
      <c r="AM75" s="468" t="str">
        <f t="shared" si="22"/>
        <v/>
      </c>
      <c r="AN75" s="469" t="str">
        <f t="shared" si="31"/>
        <v/>
      </c>
      <c r="AO75" s="463" t="s">
        <v>4454</v>
      </c>
      <c r="AP75" s="463"/>
      <c r="AR75" s="71"/>
      <c r="AS75" s="64"/>
      <c r="AT75" s="65"/>
      <c r="AU75" s="66"/>
      <c r="AV75" s="67" t="e">
        <f>#REF!-#REF!</f>
        <v>#REF!</v>
      </c>
    </row>
    <row r="76" spans="1:48" s="470" customFormat="1" ht="25.5" customHeight="1" outlineLevel="2">
      <c r="A76" s="463" t="s">
        <v>4454</v>
      </c>
      <c r="B76" s="485"/>
      <c r="C76" s="472" t="s">
        <v>4532</v>
      </c>
      <c r="D76" s="463" t="s">
        <v>4454</v>
      </c>
      <c r="E76" s="473"/>
      <c r="F76" s="474" t="s">
        <v>5491</v>
      </c>
      <c r="G76" s="475"/>
      <c r="H76" s="486"/>
      <c r="I76" s="476"/>
      <c r="J76" s="477"/>
      <c r="K76" s="437"/>
      <c r="L76" s="487"/>
      <c r="M76" s="464" t="s">
        <v>13</v>
      </c>
      <c r="N76" s="488"/>
      <c r="O76" s="280">
        <v>0</v>
      </c>
      <c r="P76" s="465"/>
      <c r="Q76" s="263">
        <f t="shared" si="32"/>
        <v>0</v>
      </c>
      <c r="R76" s="278"/>
      <c r="S76" s="279"/>
      <c r="T76" s="466"/>
      <c r="U76" s="418">
        <v>0</v>
      </c>
      <c r="V76" s="61"/>
      <c r="W76" s="68"/>
      <c r="X76" s="79"/>
      <c r="Y76" s="70"/>
      <c r="Z76" s="70"/>
      <c r="AA76" s="63">
        <f>Q76+AB76-AJ76</f>
        <v>0</v>
      </c>
      <c r="AB76" s="72"/>
      <c r="AC76" s="267"/>
      <c r="AD76" s="545">
        <f t="shared" si="33"/>
        <v>0</v>
      </c>
      <c r="AE76" s="62"/>
      <c r="AF76" s="73"/>
      <c r="AG76" s="73"/>
      <c r="AH76" s="73"/>
      <c r="AI76" s="74"/>
      <c r="AJ76" s="75"/>
      <c r="AK76" s="467"/>
      <c r="AL76" s="546"/>
      <c r="AM76" s="468" t="str">
        <f t="shared" si="22"/>
        <v/>
      </c>
      <c r="AN76" s="469" t="str">
        <f t="shared" si="31"/>
        <v/>
      </c>
      <c r="AO76" s="463" t="s">
        <v>4454</v>
      </c>
      <c r="AP76" s="463"/>
      <c r="AR76" s="63"/>
      <c r="AS76" s="64"/>
      <c r="AT76" s="65"/>
      <c r="AU76" s="66"/>
      <c r="AV76" s="67" t="e">
        <f>#REF!-#REF!</f>
        <v>#REF!</v>
      </c>
    </row>
    <row r="77" spans="1:48" s="470" customFormat="1" ht="25.5" customHeight="1" outlineLevel="2">
      <c r="A77" s="463" t="s">
        <v>4454</v>
      </c>
      <c r="B77" s="485"/>
      <c r="C77" s="472" t="s">
        <v>4532</v>
      </c>
      <c r="D77" s="463" t="s">
        <v>4454</v>
      </c>
      <c r="E77" s="473"/>
      <c r="F77" s="474" t="s">
        <v>5491</v>
      </c>
      <c r="G77" s="475"/>
      <c r="H77" s="486"/>
      <c r="I77" s="476"/>
      <c r="J77" s="477"/>
      <c r="K77" s="437"/>
      <c r="L77" s="487"/>
      <c r="M77" s="464" t="s">
        <v>13</v>
      </c>
      <c r="N77" s="488"/>
      <c r="O77" s="280">
        <v>0</v>
      </c>
      <c r="P77" s="465"/>
      <c r="Q77" s="263">
        <f t="shared" si="32"/>
        <v>0</v>
      </c>
      <c r="R77" s="278"/>
      <c r="S77" s="279"/>
      <c r="T77" s="466"/>
      <c r="U77" s="418">
        <v>0</v>
      </c>
      <c r="V77" s="61"/>
      <c r="W77" s="68"/>
      <c r="X77" s="79"/>
      <c r="Y77" s="70"/>
      <c r="Z77" s="70"/>
      <c r="AA77" s="63">
        <f>Q77+AB77-AJ77</f>
        <v>0</v>
      </c>
      <c r="AB77" s="72"/>
      <c r="AC77" s="267"/>
      <c r="AD77" s="545">
        <f t="shared" si="33"/>
        <v>0</v>
      </c>
      <c r="AE77" s="62"/>
      <c r="AF77" s="73"/>
      <c r="AG77" s="73"/>
      <c r="AH77" s="73"/>
      <c r="AI77" s="74"/>
      <c r="AJ77" s="75"/>
      <c r="AK77" s="467"/>
      <c r="AL77" s="546"/>
      <c r="AM77" s="468" t="str">
        <f t="shared" si="22"/>
        <v/>
      </c>
      <c r="AN77" s="469" t="str">
        <f t="shared" si="31"/>
        <v/>
      </c>
      <c r="AO77" s="463" t="s">
        <v>4454</v>
      </c>
      <c r="AP77" s="463"/>
      <c r="AR77" s="63"/>
      <c r="AS77" s="64"/>
      <c r="AT77" s="65"/>
      <c r="AU77" s="66"/>
      <c r="AV77" s="67" t="e">
        <f>#REF!-#REF!</f>
        <v>#REF!</v>
      </c>
    </row>
    <row r="78" spans="1:48" ht="25.5" customHeight="1" outlineLevel="2" thickBot="1">
      <c r="A78" s="291">
        <v>1712</v>
      </c>
      <c r="B78" s="405" t="s">
        <v>4500</v>
      </c>
      <c r="C78" s="458" t="s">
        <v>4532</v>
      </c>
      <c r="D78" s="291">
        <v>1712</v>
      </c>
      <c r="E78" s="407" t="s">
        <v>4512</v>
      </c>
      <c r="F78" s="428" t="s">
        <v>5491</v>
      </c>
      <c r="G78" s="409"/>
      <c r="H78" s="429" t="s">
        <v>5496</v>
      </c>
      <c r="I78" s="411">
        <v>17</v>
      </c>
      <c r="J78" s="459" t="s">
        <v>4515</v>
      </c>
      <c r="K78" s="498"/>
      <c r="L78" s="499">
        <v>44287</v>
      </c>
      <c r="M78" s="464" t="s">
        <v>13</v>
      </c>
      <c r="N78" s="500">
        <v>44286</v>
      </c>
      <c r="O78" s="501">
        <v>30000</v>
      </c>
      <c r="P78" s="502">
        <v>30000</v>
      </c>
      <c r="Q78" s="263">
        <f t="shared" si="32"/>
        <v>30000</v>
      </c>
      <c r="R78" s="284">
        <v>30000</v>
      </c>
      <c r="S78" s="285"/>
      <c r="T78" s="466">
        <v>30000</v>
      </c>
      <c r="U78" s="561">
        <v>30000</v>
      </c>
      <c r="V78" s="43"/>
      <c r="W78" s="44"/>
      <c r="X78" s="45">
        <v>43200</v>
      </c>
      <c r="Y78" s="46"/>
      <c r="Z78" s="46"/>
      <c r="AA78" s="129">
        <f>Q78+AB78-AJ78</f>
        <v>30000</v>
      </c>
      <c r="AB78" s="48">
        <f>SUM(AE78:AI78)</f>
        <v>0</v>
      </c>
      <c r="AC78" s="265"/>
      <c r="AD78" s="606">
        <f t="shared" si="33"/>
        <v>0</v>
      </c>
      <c r="AE78" s="49"/>
      <c r="AF78" s="50"/>
      <c r="AG78" s="50"/>
      <c r="AH78" s="50"/>
      <c r="AI78" s="51"/>
      <c r="AJ78" s="52"/>
      <c r="AK78" s="462"/>
      <c r="AL78" s="442"/>
      <c r="AM78" s="308" t="str">
        <f t="shared" si="22"/>
        <v>1712</v>
      </c>
      <c r="AN78" s="369" t="str">
        <f t="shared" si="31"/>
        <v>1712</v>
      </c>
      <c r="AO78" s="291">
        <v>1712</v>
      </c>
      <c r="AR78" s="129">
        <f>U79+AB78</f>
        <v>80000</v>
      </c>
      <c r="AS78" s="54"/>
      <c r="AT78" s="55"/>
      <c r="AU78" s="56"/>
      <c r="AV78" s="57" t="e">
        <f>#REF!-#REF!</f>
        <v>#REF!</v>
      </c>
    </row>
    <row r="79" spans="1:48" ht="25.5" customHeight="1" outlineLevel="1" thickBot="1">
      <c r="A79" s="291" t="s">
        <v>4454</v>
      </c>
      <c r="B79" s="507"/>
      <c r="C79" s="508">
        <v>13</v>
      </c>
      <c r="D79" s="291" t="s">
        <v>4454</v>
      </c>
      <c r="E79" s="509"/>
      <c r="F79" s="510" t="s">
        <v>5206</v>
      </c>
      <c r="G79" s="511"/>
      <c r="H79" s="512"/>
      <c r="I79" s="513"/>
      <c r="J79" s="514"/>
      <c r="K79" s="515"/>
      <c r="L79" s="516"/>
      <c r="M79" s="517"/>
      <c r="N79" s="518"/>
      <c r="O79" s="519">
        <v>80000</v>
      </c>
      <c r="P79" s="520"/>
      <c r="Q79" s="521">
        <f>SUBTOTAL(9,Q73:Q78)</f>
        <v>80000</v>
      </c>
      <c r="R79" s="522">
        <f>SUBTOTAL(9,R73:R78)</f>
        <v>80000</v>
      </c>
      <c r="S79" s="523">
        <f>SUBTOTAL(9,S73:S78)</f>
        <v>0</v>
      </c>
      <c r="T79" s="524"/>
      <c r="U79" s="548">
        <v>80000</v>
      </c>
      <c r="V79" s="94"/>
      <c r="W79" s="95"/>
      <c r="X79" s="96"/>
      <c r="Y79" s="97"/>
      <c r="Z79" s="97"/>
      <c r="AA79" s="98">
        <f>SUBTOTAL(9,AA73:AA78)</f>
        <v>80000</v>
      </c>
      <c r="AB79" s="176">
        <f t="shared" ref="AB79:AH79" si="34">SUBTOTAL(9,AB73:AB78)</f>
        <v>0</v>
      </c>
      <c r="AC79" s="273"/>
      <c r="AD79" s="526">
        <f>SUM(AE79:AJ79)</f>
        <v>0</v>
      </c>
      <c r="AE79" s="100">
        <f t="shared" si="34"/>
        <v>0</v>
      </c>
      <c r="AF79" s="101">
        <f t="shared" si="34"/>
        <v>0</v>
      </c>
      <c r="AG79" s="101">
        <f t="shared" si="34"/>
        <v>0</v>
      </c>
      <c r="AH79" s="101">
        <f t="shared" si="34"/>
        <v>0</v>
      </c>
      <c r="AI79" s="102">
        <f>SUBTOTAL(9,AI73:AI78)-AI73</f>
        <v>0</v>
      </c>
      <c r="AJ79" s="103">
        <f>SUBTOTAL(9,AJ73:AJ78)</f>
        <v>0</v>
      </c>
      <c r="AK79" s="527">
        <f>SUBTOTAL(9,AK73:AK78)</f>
        <v>0</v>
      </c>
      <c r="AL79" s="563"/>
      <c r="AM79" s="308" t="str">
        <f t="shared" si="22"/>
        <v/>
      </c>
      <c r="AN79" s="369" t="str">
        <f t="shared" si="31"/>
        <v/>
      </c>
      <c r="AO79" s="291" t="s">
        <v>4454</v>
      </c>
      <c r="AR79" s="106">
        <f>SUBTOTAL(9,AR73:AR78)</f>
        <v>80000</v>
      </c>
      <c r="AS79" s="107"/>
      <c r="AT79" s="108">
        <f>SUBTOTAL(9,AT73:AT78)</f>
        <v>0</v>
      </c>
      <c r="AU79" s="109"/>
      <c r="AV79" s="110" t="e">
        <f>SUM(AV73:AV78)</f>
        <v>#REF!</v>
      </c>
    </row>
    <row r="80" spans="1:48" ht="25.5" customHeight="1" outlineLevel="2">
      <c r="A80" s="291">
        <v>2117</v>
      </c>
      <c r="B80" s="569" t="s">
        <v>4530</v>
      </c>
      <c r="C80" s="458">
        <v>14</v>
      </c>
      <c r="D80" s="291">
        <v>2117</v>
      </c>
      <c r="E80" s="407" t="s">
        <v>4460</v>
      </c>
      <c r="F80" s="428" t="s">
        <v>5497</v>
      </c>
      <c r="G80" s="409">
        <v>26</v>
      </c>
      <c r="H80" s="429" t="s">
        <v>5498</v>
      </c>
      <c r="I80" s="411">
        <v>21</v>
      </c>
      <c r="J80" s="459" t="s">
        <v>4539</v>
      </c>
      <c r="K80" s="437"/>
      <c r="L80" s="413">
        <v>44534</v>
      </c>
      <c r="M80" s="464" t="s">
        <v>13</v>
      </c>
      <c r="N80" s="415">
        <v>44282</v>
      </c>
      <c r="O80" s="280">
        <v>150000</v>
      </c>
      <c r="P80" s="465">
        <v>180000</v>
      </c>
      <c r="Q80" s="263">
        <f t="shared" ref="Q80:Q89" si="35">R80+S80</f>
        <v>150000</v>
      </c>
      <c r="R80" s="284">
        <v>150000</v>
      </c>
      <c r="S80" s="285"/>
      <c r="T80" s="466">
        <v>180000</v>
      </c>
      <c r="U80" s="418">
        <v>150000</v>
      </c>
      <c r="V80" s="43"/>
      <c r="W80" s="44"/>
      <c r="X80" s="45">
        <v>43931</v>
      </c>
      <c r="Y80" s="46"/>
      <c r="Z80" s="46"/>
      <c r="AA80" s="129">
        <f t="shared" ref="AA80:AA89" si="36">Q80+AB80-AJ80</f>
        <v>150000</v>
      </c>
      <c r="AB80" s="48">
        <f>SUM(AE80:AI80)+AJ80</f>
        <v>0</v>
      </c>
      <c r="AC80" s="265"/>
      <c r="AD80" s="424">
        <f t="shared" ref="AD80:AD89" si="37">SUM(AE80:AJ80)-AJ80</f>
        <v>0</v>
      </c>
      <c r="AE80" s="49"/>
      <c r="AF80" s="50"/>
      <c r="AG80" s="50"/>
      <c r="AH80" s="50"/>
      <c r="AI80" s="51"/>
      <c r="AJ80" s="52">
        <f t="shared" ref="AJ80:AJ89" si="38">+S80</f>
        <v>0</v>
      </c>
      <c r="AK80" s="462"/>
      <c r="AL80" s="442"/>
      <c r="AM80" s="308" t="str">
        <f t="shared" ref="AM80:AM111" si="39">I80&amp;J80</f>
        <v>2117</v>
      </c>
      <c r="AN80" s="369" t="str">
        <f t="shared" si="31"/>
        <v>2117</v>
      </c>
      <c r="AO80" s="291">
        <v>2117</v>
      </c>
      <c r="AR80" s="129">
        <f>U81+AB80</f>
        <v>0</v>
      </c>
      <c r="AS80" s="54"/>
      <c r="AT80" s="55"/>
      <c r="AU80" s="56"/>
      <c r="AV80" s="57" t="e">
        <f>#REF!-#REF!</f>
        <v>#REF!</v>
      </c>
    </row>
    <row r="81" spans="1:48" s="470" customFormat="1" ht="25.5" customHeight="1" outlineLevel="2">
      <c r="A81" s="463" t="s">
        <v>4454</v>
      </c>
      <c r="B81" s="607" t="s">
        <v>4459</v>
      </c>
      <c r="C81" s="472">
        <v>14</v>
      </c>
      <c r="D81" s="463" t="s">
        <v>4454</v>
      </c>
      <c r="E81" s="473" t="s">
        <v>4460</v>
      </c>
      <c r="F81" s="474" t="s">
        <v>5497</v>
      </c>
      <c r="G81" s="475"/>
      <c r="H81" s="486" t="s">
        <v>5499</v>
      </c>
      <c r="I81" s="476"/>
      <c r="J81" s="477"/>
      <c r="K81" s="437"/>
      <c r="L81" s="487"/>
      <c r="M81" s="464" t="s">
        <v>13</v>
      </c>
      <c r="N81" s="488"/>
      <c r="O81" s="280">
        <v>0</v>
      </c>
      <c r="P81" s="465"/>
      <c r="Q81" s="263">
        <f t="shared" si="35"/>
        <v>0</v>
      </c>
      <c r="R81" s="278"/>
      <c r="S81" s="279"/>
      <c r="T81" s="466"/>
      <c r="U81" s="418">
        <v>0</v>
      </c>
      <c r="V81" s="61"/>
      <c r="W81" s="68"/>
      <c r="X81" s="79"/>
      <c r="Y81" s="70"/>
      <c r="Z81" s="70"/>
      <c r="AA81" s="63">
        <f t="shared" si="36"/>
        <v>0</v>
      </c>
      <c r="AB81" s="72">
        <f>SUM(AE81:AI81)</f>
        <v>0</v>
      </c>
      <c r="AC81" s="267"/>
      <c r="AD81" s="545">
        <f t="shared" si="37"/>
        <v>0</v>
      </c>
      <c r="AE81" s="62"/>
      <c r="AF81" s="73"/>
      <c r="AG81" s="73"/>
      <c r="AH81" s="73"/>
      <c r="AI81" s="74"/>
      <c r="AJ81" s="75">
        <f t="shared" si="38"/>
        <v>0</v>
      </c>
      <c r="AK81" s="467"/>
      <c r="AL81" s="546"/>
      <c r="AM81" s="468" t="str">
        <f t="shared" si="39"/>
        <v/>
      </c>
      <c r="AN81" s="469" t="str">
        <f t="shared" si="31"/>
        <v/>
      </c>
      <c r="AO81" s="463" t="s">
        <v>4454</v>
      </c>
      <c r="AP81" s="463"/>
      <c r="AR81" s="63">
        <f>U82+AB81</f>
        <v>0</v>
      </c>
      <c r="AS81" s="64"/>
      <c r="AT81" s="65"/>
      <c r="AU81" s="66"/>
      <c r="AV81" s="67" t="e">
        <f>#REF!-#REF!</f>
        <v>#REF!</v>
      </c>
    </row>
    <row r="82" spans="1:48" s="470" customFormat="1" ht="25.5" customHeight="1" outlineLevel="2">
      <c r="A82" s="463" t="s">
        <v>4454</v>
      </c>
      <c r="B82" s="607" t="s">
        <v>4459</v>
      </c>
      <c r="C82" s="472">
        <v>14</v>
      </c>
      <c r="D82" s="463" t="s">
        <v>4454</v>
      </c>
      <c r="E82" s="473" t="s">
        <v>4461</v>
      </c>
      <c r="F82" s="474" t="s">
        <v>5497</v>
      </c>
      <c r="G82" s="475"/>
      <c r="H82" s="486" t="s">
        <v>5500</v>
      </c>
      <c r="I82" s="476"/>
      <c r="J82" s="477"/>
      <c r="K82" s="478"/>
      <c r="L82" s="487"/>
      <c r="M82" s="464" t="s">
        <v>13</v>
      </c>
      <c r="N82" s="488"/>
      <c r="O82" s="280">
        <v>0</v>
      </c>
      <c r="P82" s="465"/>
      <c r="Q82" s="479">
        <f t="shared" si="35"/>
        <v>0</v>
      </c>
      <c r="R82" s="278"/>
      <c r="S82" s="279"/>
      <c r="T82" s="466"/>
      <c r="U82" s="418">
        <v>0</v>
      </c>
      <c r="V82" s="61"/>
      <c r="W82" s="68"/>
      <c r="X82" s="164">
        <f>+N82+14</f>
        <v>14</v>
      </c>
      <c r="Y82" s="70"/>
      <c r="Z82" s="70"/>
      <c r="AA82" s="71">
        <f t="shared" si="36"/>
        <v>0</v>
      </c>
      <c r="AB82" s="72">
        <f>SUM(AE82:AI82)+AJ82</f>
        <v>0</v>
      </c>
      <c r="AC82" s="267"/>
      <c r="AD82" s="545">
        <f t="shared" si="37"/>
        <v>0</v>
      </c>
      <c r="AE82" s="62"/>
      <c r="AF82" s="73"/>
      <c r="AG82" s="73"/>
      <c r="AH82" s="73"/>
      <c r="AI82" s="74"/>
      <c r="AJ82" s="75">
        <f t="shared" si="38"/>
        <v>0</v>
      </c>
      <c r="AK82" s="467"/>
      <c r="AL82" s="546" t="s">
        <v>4537</v>
      </c>
      <c r="AM82" s="468" t="str">
        <f t="shared" si="39"/>
        <v/>
      </c>
      <c r="AN82" s="469" t="str">
        <f t="shared" si="31"/>
        <v/>
      </c>
      <c r="AO82" s="463" t="s">
        <v>4454</v>
      </c>
      <c r="AP82" s="463"/>
      <c r="AR82" s="71">
        <f>U83+AB82-AJ82</f>
        <v>800000</v>
      </c>
      <c r="AS82" s="64"/>
      <c r="AT82" s="65"/>
      <c r="AU82" s="66"/>
      <c r="AV82" s="67" t="e">
        <f>#REF!-#REF!</f>
        <v>#REF!</v>
      </c>
    </row>
    <row r="83" spans="1:48" ht="25.5" customHeight="1" outlineLevel="2">
      <c r="A83" s="291">
        <v>2316</v>
      </c>
      <c r="B83" s="482" t="s">
        <v>4459</v>
      </c>
      <c r="C83" s="458">
        <v>14</v>
      </c>
      <c r="D83" s="291">
        <v>2316</v>
      </c>
      <c r="E83" s="407" t="s">
        <v>4534</v>
      </c>
      <c r="F83" s="428" t="s">
        <v>5497</v>
      </c>
      <c r="G83" s="409">
        <v>54</v>
      </c>
      <c r="H83" s="410" t="s">
        <v>5501</v>
      </c>
      <c r="I83" s="411">
        <v>23</v>
      </c>
      <c r="J83" s="459" t="s">
        <v>4535</v>
      </c>
      <c r="K83" s="460">
        <v>51</v>
      </c>
      <c r="L83" s="413">
        <v>44318</v>
      </c>
      <c r="M83" s="414" t="s">
        <v>13</v>
      </c>
      <c r="N83" s="415">
        <v>44535</v>
      </c>
      <c r="O83" s="280">
        <v>800000</v>
      </c>
      <c r="P83" s="465">
        <v>800000</v>
      </c>
      <c r="Q83" s="263">
        <f>R83+S83</f>
        <v>800000</v>
      </c>
      <c r="R83" s="284"/>
      <c r="S83" s="59">
        <v>800000</v>
      </c>
      <c r="T83" s="466">
        <v>800000</v>
      </c>
      <c r="U83" s="418">
        <v>800000</v>
      </c>
      <c r="V83" s="43"/>
      <c r="W83" s="44"/>
      <c r="X83" s="58" t="s">
        <v>4506</v>
      </c>
      <c r="Y83" s="46"/>
      <c r="Z83" s="46"/>
      <c r="AA83" s="129">
        <f t="shared" si="36"/>
        <v>800000</v>
      </c>
      <c r="AB83" s="48">
        <f>SUM(AE83:AI83)+AJ83</f>
        <v>800000</v>
      </c>
      <c r="AC83" s="265"/>
      <c r="AD83" s="424">
        <f t="shared" si="37"/>
        <v>0</v>
      </c>
      <c r="AE83" s="49"/>
      <c r="AF83" s="50"/>
      <c r="AG83" s="50"/>
      <c r="AH83" s="50"/>
      <c r="AI83" s="51"/>
      <c r="AJ83" s="52">
        <f t="shared" si="38"/>
        <v>800000</v>
      </c>
      <c r="AK83" s="462"/>
      <c r="AL83" s="396" t="s">
        <v>5439</v>
      </c>
      <c r="AM83" s="308" t="str">
        <f t="shared" si="39"/>
        <v>2316</v>
      </c>
      <c r="AN83" s="369" t="str">
        <f t="shared" si="31"/>
        <v>2316</v>
      </c>
      <c r="AO83" s="291">
        <v>2316</v>
      </c>
      <c r="AR83" s="129">
        <f>U84+AB83</f>
        <v>800000</v>
      </c>
      <c r="AS83" s="54"/>
      <c r="AT83" s="55"/>
      <c r="AU83" s="56"/>
      <c r="AV83" s="57" t="e">
        <f>#REF!-#REF!</f>
        <v>#REF!</v>
      </c>
    </row>
    <row r="84" spans="1:48" s="470" customFormat="1" ht="25.5" customHeight="1" outlineLevel="2">
      <c r="A84" s="463" t="s">
        <v>4454</v>
      </c>
      <c r="B84" s="607" t="s">
        <v>4459</v>
      </c>
      <c r="C84" s="472">
        <v>14</v>
      </c>
      <c r="D84" s="463" t="s">
        <v>4454</v>
      </c>
      <c r="E84" s="407"/>
      <c r="F84" s="474" t="s">
        <v>5497</v>
      </c>
      <c r="G84" s="475"/>
      <c r="H84" s="486" t="s">
        <v>5502</v>
      </c>
      <c r="I84" s="476"/>
      <c r="J84" s="477"/>
      <c r="K84" s="478"/>
      <c r="L84" s="487"/>
      <c r="M84" s="464" t="s">
        <v>13</v>
      </c>
      <c r="N84" s="488"/>
      <c r="O84" s="280">
        <v>0</v>
      </c>
      <c r="P84" s="465"/>
      <c r="Q84" s="263">
        <f>R84+S84</f>
        <v>0</v>
      </c>
      <c r="R84" s="278"/>
      <c r="S84" s="279"/>
      <c r="T84" s="466"/>
      <c r="U84" s="418">
        <v>0</v>
      </c>
      <c r="V84" s="61"/>
      <c r="W84" s="68"/>
      <c r="X84" s="164">
        <f>+N84+14</f>
        <v>14</v>
      </c>
      <c r="Y84" s="70"/>
      <c r="Z84" s="70"/>
      <c r="AA84" s="71">
        <f t="shared" si="36"/>
        <v>0</v>
      </c>
      <c r="AB84" s="72">
        <f>SUM(AE84:AI84)+AJ84</f>
        <v>0</v>
      </c>
      <c r="AC84" s="267"/>
      <c r="AD84" s="545">
        <f t="shared" si="37"/>
        <v>0</v>
      </c>
      <c r="AE84" s="62"/>
      <c r="AF84" s="73"/>
      <c r="AG84" s="73"/>
      <c r="AH84" s="73"/>
      <c r="AI84" s="74"/>
      <c r="AJ84" s="75">
        <f t="shared" si="38"/>
        <v>0</v>
      </c>
      <c r="AK84" s="467"/>
      <c r="AL84" s="546"/>
      <c r="AM84" s="468" t="str">
        <f t="shared" si="39"/>
        <v/>
      </c>
      <c r="AN84" s="469" t="str">
        <f t="shared" si="31"/>
        <v/>
      </c>
      <c r="AO84" s="463" t="s">
        <v>4454</v>
      </c>
      <c r="AP84" s="463"/>
      <c r="AR84" s="71">
        <f>U85+AB84-AJ84</f>
        <v>0</v>
      </c>
      <c r="AS84" s="64"/>
      <c r="AT84" s="65"/>
      <c r="AU84" s="66"/>
      <c r="AV84" s="67" t="e">
        <f>#REF!-#REF!</f>
        <v>#REF!</v>
      </c>
    </row>
    <row r="85" spans="1:48" s="470" customFormat="1" ht="25.5" customHeight="1" outlineLevel="2">
      <c r="A85" s="463" t="s">
        <v>4454</v>
      </c>
      <c r="B85" s="607" t="s">
        <v>4459</v>
      </c>
      <c r="C85" s="472">
        <v>14</v>
      </c>
      <c r="D85" s="463" t="s">
        <v>4454</v>
      </c>
      <c r="E85" s="407"/>
      <c r="F85" s="474" t="s">
        <v>5497</v>
      </c>
      <c r="G85" s="475"/>
      <c r="H85" s="486" t="s">
        <v>5503</v>
      </c>
      <c r="I85" s="476"/>
      <c r="J85" s="477"/>
      <c r="K85" s="478"/>
      <c r="L85" s="487"/>
      <c r="M85" s="464" t="s">
        <v>13</v>
      </c>
      <c r="N85" s="488"/>
      <c r="O85" s="280">
        <v>0</v>
      </c>
      <c r="P85" s="465"/>
      <c r="Q85" s="263">
        <f>R85+S85</f>
        <v>0</v>
      </c>
      <c r="R85" s="278"/>
      <c r="S85" s="279"/>
      <c r="T85" s="466"/>
      <c r="U85" s="418">
        <v>0</v>
      </c>
      <c r="V85" s="61"/>
      <c r="W85" s="68"/>
      <c r="X85" s="164">
        <f>+N85+14</f>
        <v>14</v>
      </c>
      <c r="Y85" s="70"/>
      <c r="Z85" s="70"/>
      <c r="AA85" s="71">
        <f t="shared" si="36"/>
        <v>0</v>
      </c>
      <c r="AB85" s="72">
        <f>SUM(AE85:AI85)+AJ85</f>
        <v>0</v>
      </c>
      <c r="AC85" s="267"/>
      <c r="AD85" s="545">
        <f t="shared" si="37"/>
        <v>0</v>
      </c>
      <c r="AE85" s="62"/>
      <c r="AF85" s="73"/>
      <c r="AG85" s="73"/>
      <c r="AH85" s="73"/>
      <c r="AI85" s="74"/>
      <c r="AJ85" s="75">
        <f t="shared" si="38"/>
        <v>0</v>
      </c>
      <c r="AK85" s="467"/>
      <c r="AL85" s="546"/>
      <c r="AM85" s="468" t="str">
        <f t="shared" si="39"/>
        <v/>
      </c>
      <c r="AN85" s="469" t="str">
        <f t="shared" si="31"/>
        <v/>
      </c>
      <c r="AO85" s="463" t="s">
        <v>4454</v>
      </c>
      <c r="AP85" s="463"/>
      <c r="AR85" s="71">
        <f>U86+AB85-AJ85</f>
        <v>0</v>
      </c>
      <c r="AS85" s="64"/>
      <c r="AT85" s="65"/>
      <c r="AU85" s="66"/>
      <c r="AV85" s="67" t="e">
        <f>#REF!-#REF!</f>
        <v>#REF!</v>
      </c>
    </row>
    <row r="86" spans="1:48" s="470" customFormat="1" ht="25.5" customHeight="1" outlineLevel="2">
      <c r="A86" s="463" t="s">
        <v>4454</v>
      </c>
      <c r="B86" s="607" t="s">
        <v>4459</v>
      </c>
      <c r="C86" s="472">
        <v>14</v>
      </c>
      <c r="D86" s="463" t="s">
        <v>4454</v>
      </c>
      <c r="E86" s="473" t="s">
        <v>4534</v>
      </c>
      <c r="F86" s="474" t="s">
        <v>5497</v>
      </c>
      <c r="G86" s="475"/>
      <c r="H86" s="570" t="s">
        <v>5504</v>
      </c>
      <c r="I86" s="476"/>
      <c r="J86" s="477"/>
      <c r="K86" s="478"/>
      <c r="L86" s="487"/>
      <c r="M86" s="464" t="s">
        <v>13</v>
      </c>
      <c r="N86" s="488"/>
      <c r="O86" s="280">
        <v>0</v>
      </c>
      <c r="P86" s="465"/>
      <c r="Q86" s="479">
        <f t="shared" si="35"/>
        <v>0</v>
      </c>
      <c r="R86" s="278"/>
      <c r="S86" s="279"/>
      <c r="T86" s="466"/>
      <c r="U86" s="418">
        <v>0</v>
      </c>
      <c r="V86" s="61"/>
      <c r="W86" s="68"/>
      <c r="X86" s="165">
        <f>+N86+14</f>
        <v>14</v>
      </c>
      <c r="Y86" s="70"/>
      <c r="Z86" s="70"/>
      <c r="AA86" s="63">
        <f t="shared" si="36"/>
        <v>0</v>
      </c>
      <c r="AB86" s="166"/>
      <c r="AC86" s="281"/>
      <c r="AD86" s="545">
        <f t="shared" si="37"/>
        <v>0</v>
      </c>
      <c r="AE86" s="62"/>
      <c r="AF86" s="73"/>
      <c r="AG86" s="73"/>
      <c r="AH86" s="73"/>
      <c r="AI86" s="74"/>
      <c r="AJ86" s="75">
        <f t="shared" si="38"/>
        <v>0</v>
      </c>
      <c r="AK86" s="467"/>
      <c r="AL86" s="546" t="s">
        <v>4536</v>
      </c>
      <c r="AM86" s="468" t="str">
        <f t="shared" si="39"/>
        <v/>
      </c>
      <c r="AN86" s="469" t="str">
        <f t="shared" si="31"/>
        <v/>
      </c>
      <c r="AO86" s="463" t="s">
        <v>4454</v>
      </c>
      <c r="AP86" s="463"/>
      <c r="AR86" s="63">
        <f>U87+AB86</f>
        <v>0</v>
      </c>
      <c r="AS86" s="64"/>
      <c r="AT86" s="65"/>
      <c r="AU86" s="66"/>
      <c r="AV86" s="67" t="e">
        <f>#REF!-#REF!</f>
        <v>#REF!</v>
      </c>
    </row>
    <row r="87" spans="1:48" s="470" customFormat="1" ht="25.5" customHeight="1" outlineLevel="2">
      <c r="A87" s="463" t="s">
        <v>4454</v>
      </c>
      <c r="B87" s="485"/>
      <c r="C87" s="472">
        <v>14</v>
      </c>
      <c r="D87" s="463" t="s">
        <v>4454</v>
      </c>
      <c r="E87" s="473"/>
      <c r="F87" s="474" t="s">
        <v>5497</v>
      </c>
      <c r="G87" s="475"/>
      <c r="H87" s="486"/>
      <c r="I87" s="476"/>
      <c r="J87" s="477"/>
      <c r="K87" s="437"/>
      <c r="L87" s="487"/>
      <c r="M87" s="464" t="s">
        <v>13</v>
      </c>
      <c r="N87" s="488"/>
      <c r="O87" s="280">
        <v>0</v>
      </c>
      <c r="P87" s="465"/>
      <c r="Q87" s="263">
        <f t="shared" si="35"/>
        <v>0</v>
      </c>
      <c r="R87" s="278"/>
      <c r="S87" s="279"/>
      <c r="T87" s="466"/>
      <c r="U87" s="418">
        <v>0</v>
      </c>
      <c r="V87" s="61"/>
      <c r="W87" s="68"/>
      <c r="X87" s="79"/>
      <c r="Y87" s="70"/>
      <c r="Z87" s="70"/>
      <c r="AA87" s="63">
        <f t="shared" si="36"/>
        <v>0</v>
      </c>
      <c r="AB87" s="72"/>
      <c r="AC87" s="267"/>
      <c r="AD87" s="545">
        <f t="shared" si="37"/>
        <v>0</v>
      </c>
      <c r="AE87" s="62"/>
      <c r="AF87" s="73"/>
      <c r="AG87" s="73"/>
      <c r="AH87" s="73"/>
      <c r="AI87" s="74"/>
      <c r="AJ87" s="75">
        <f t="shared" si="38"/>
        <v>0</v>
      </c>
      <c r="AK87" s="467"/>
      <c r="AL87" s="546"/>
      <c r="AM87" s="468" t="str">
        <f t="shared" si="39"/>
        <v/>
      </c>
      <c r="AN87" s="469" t="str">
        <f t="shared" si="31"/>
        <v/>
      </c>
      <c r="AO87" s="463" t="s">
        <v>4454</v>
      </c>
      <c r="AP87" s="463"/>
      <c r="AR87" s="63"/>
      <c r="AS87" s="64"/>
      <c r="AT87" s="65"/>
      <c r="AU87" s="66"/>
      <c r="AV87" s="67" t="e">
        <f>#REF!-#REF!</f>
        <v>#REF!</v>
      </c>
    </row>
    <row r="88" spans="1:48" s="470" customFormat="1" ht="25.5" customHeight="1" outlineLevel="2">
      <c r="A88" s="463" t="s">
        <v>4454</v>
      </c>
      <c r="B88" s="485"/>
      <c r="C88" s="472">
        <v>14</v>
      </c>
      <c r="D88" s="463" t="s">
        <v>4454</v>
      </c>
      <c r="E88" s="473"/>
      <c r="F88" s="474" t="s">
        <v>5497</v>
      </c>
      <c r="G88" s="475"/>
      <c r="H88" s="486"/>
      <c r="I88" s="476"/>
      <c r="J88" s="477"/>
      <c r="K88" s="437"/>
      <c r="L88" s="487"/>
      <c r="M88" s="464" t="s">
        <v>13</v>
      </c>
      <c r="N88" s="488"/>
      <c r="O88" s="280">
        <v>0</v>
      </c>
      <c r="P88" s="465"/>
      <c r="Q88" s="263">
        <f t="shared" si="35"/>
        <v>0</v>
      </c>
      <c r="R88" s="278"/>
      <c r="S88" s="279"/>
      <c r="T88" s="466"/>
      <c r="U88" s="418">
        <v>0</v>
      </c>
      <c r="V88" s="61"/>
      <c r="W88" s="68"/>
      <c r="X88" s="79"/>
      <c r="Y88" s="70"/>
      <c r="Z88" s="70"/>
      <c r="AA88" s="63">
        <f t="shared" si="36"/>
        <v>0</v>
      </c>
      <c r="AB88" s="72"/>
      <c r="AC88" s="267"/>
      <c r="AD88" s="545">
        <f t="shared" si="37"/>
        <v>0</v>
      </c>
      <c r="AE88" s="62"/>
      <c r="AF88" s="73"/>
      <c r="AG88" s="73"/>
      <c r="AH88" s="73"/>
      <c r="AI88" s="74"/>
      <c r="AJ88" s="75">
        <f t="shared" si="38"/>
        <v>0</v>
      </c>
      <c r="AK88" s="467"/>
      <c r="AL88" s="546"/>
      <c r="AM88" s="468" t="str">
        <f t="shared" si="39"/>
        <v/>
      </c>
      <c r="AN88" s="469" t="str">
        <f t="shared" si="31"/>
        <v/>
      </c>
      <c r="AO88" s="463" t="s">
        <v>4454</v>
      </c>
      <c r="AP88" s="463"/>
      <c r="AR88" s="63"/>
      <c r="AS88" s="64"/>
      <c r="AT88" s="65"/>
      <c r="AU88" s="66"/>
      <c r="AV88" s="67" t="e">
        <f>#REF!-#REF!</f>
        <v>#REF!</v>
      </c>
    </row>
    <row r="89" spans="1:48" s="470" customFormat="1" ht="25.5" customHeight="1" outlineLevel="2" thickBot="1">
      <c r="A89" s="463">
        <v>1713</v>
      </c>
      <c r="B89" s="608" t="s">
        <v>4500</v>
      </c>
      <c r="C89" s="472">
        <v>14</v>
      </c>
      <c r="D89" s="463">
        <v>1713</v>
      </c>
      <c r="E89" s="473" t="s">
        <v>4512</v>
      </c>
      <c r="F89" s="474" t="s">
        <v>5497</v>
      </c>
      <c r="G89" s="475"/>
      <c r="H89" s="486" t="s">
        <v>5505</v>
      </c>
      <c r="I89" s="476">
        <v>17</v>
      </c>
      <c r="J89" s="477" t="s">
        <v>4532</v>
      </c>
      <c r="K89" s="437"/>
      <c r="L89" s="487"/>
      <c r="M89" s="464" t="s">
        <v>13</v>
      </c>
      <c r="N89" s="488"/>
      <c r="O89" s="280">
        <v>0</v>
      </c>
      <c r="P89" s="465"/>
      <c r="Q89" s="263">
        <f t="shared" si="35"/>
        <v>0</v>
      </c>
      <c r="R89" s="278"/>
      <c r="S89" s="279"/>
      <c r="T89" s="466"/>
      <c r="U89" s="561">
        <v>0</v>
      </c>
      <c r="V89" s="61"/>
      <c r="W89" s="68"/>
      <c r="X89" s="79">
        <v>43200</v>
      </c>
      <c r="Y89" s="70"/>
      <c r="Z89" s="70"/>
      <c r="AA89" s="71">
        <f t="shared" si="36"/>
        <v>0</v>
      </c>
      <c r="AB89" s="166">
        <f>SUM(AE89:AJ89)</f>
        <v>0</v>
      </c>
      <c r="AC89" s="281"/>
      <c r="AD89" s="545">
        <f t="shared" si="37"/>
        <v>0</v>
      </c>
      <c r="AE89" s="62"/>
      <c r="AF89" s="73"/>
      <c r="AG89" s="73"/>
      <c r="AH89" s="73"/>
      <c r="AI89" s="74"/>
      <c r="AJ89" s="75">
        <f t="shared" si="38"/>
        <v>0</v>
      </c>
      <c r="AK89" s="467"/>
      <c r="AL89" s="546"/>
      <c r="AM89" s="468" t="str">
        <f t="shared" si="39"/>
        <v>1713</v>
      </c>
      <c r="AN89" s="469" t="str">
        <f t="shared" si="31"/>
        <v>1713</v>
      </c>
      <c r="AO89" s="463">
        <v>1713</v>
      </c>
      <c r="AP89" s="463"/>
      <c r="AR89" s="71">
        <f>U90+AB89</f>
        <v>950000</v>
      </c>
      <c r="AS89" s="64"/>
      <c r="AT89" s="65"/>
      <c r="AU89" s="66"/>
      <c r="AV89" s="67" t="e">
        <f>#REF!-#REF!</f>
        <v>#REF!</v>
      </c>
    </row>
    <row r="90" spans="1:48" ht="25.5" customHeight="1" outlineLevel="1" thickBot="1">
      <c r="A90" s="291" t="s">
        <v>4454</v>
      </c>
      <c r="B90" s="507"/>
      <c r="C90" s="508">
        <v>14</v>
      </c>
      <c r="D90" s="291" t="s">
        <v>4454</v>
      </c>
      <c r="E90" s="509"/>
      <c r="F90" s="510" t="s">
        <v>5207</v>
      </c>
      <c r="G90" s="511"/>
      <c r="H90" s="512"/>
      <c r="I90" s="513"/>
      <c r="J90" s="514"/>
      <c r="K90" s="515"/>
      <c r="L90" s="516"/>
      <c r="M90" s="517"/>
      <c r="N90" s="518"/>
      <c r="O90" s="519">
        <v>950000</v>
      </c>
      <c r="P90" s="520">
        <f>SUM(P80:P89)</f>
        <v>980000</v>
      </c>
      <c r="Q90" s="521">
        <f>SUBTOTAL(9,Q80:Q89)</f>
        <v>950000</v>
      </c>
      <c r="R90" s="522">
        <f>SUBTOTAL(9,R80:R89)</f>
        <v>150000</v>
      </c>
      <c r="S90" s="523">
        <f>SUBTOTAL(9,S81:S89)</f>
        <v>800000</v>
      </c>
      <c r="T90" s="524">
        <v>980000</v>
      </c>
      <c r="U90" s="549">
        <v>950000</v>
      </c>
      <c r="V90" s="94"/>
      <c r="W90" s="95"/>
      <c r="X90" s="96"/>
      <c r="Y90" s="97"/>
      <c r="Z90" s="97"/>
      <c r="AA90" s="98">
        <f>SUBTOTAL(9,AA80:AA89)</f>
        <v>950000</v>
      </c>
      <c r="AB90" s="176">
        <f>SUBTOTAL(9,AB80:AB89)</f>
        <v>800000</v>
      </c>
      <c r="AC90" s="273"/>
      <c r="AD90" s="526">
        <f>SUM(AE90:AJ90)</f>
        <v>800000</v>
      </c>
      <c r="AE90" s="100">
        <f t="shared" ref="AE90:AK90" si="40">SUBTOTAL(9,AE80:AE89)</f>
        <v>0</v>
      </c>
      <c r="AF90" s="101">
        <f t="shared" si="40"/>
        <v>0</v>
      </c>
      <c r="AG90" s="101">
        <f t="shared" si="40"/>
        <v>0</v>
      </c>
      <c r="AH90" s="101">
        <f t="shared" si="40"/>
        <v>0</v>
      </c>
      <c r="AI90" s="102">
        <f t="shared" si="40"/>
        <v>0</v>
      </c>
      <c r="AJ90" s="103">
        <f t="shared" si="40"/>
        <v>800000</v>
      </c>
      <c r="AK90" s="527">
        <f t="shared" si="40"/>
        <v>0</v>
      </c>
      <c r="AL90" s="609">
        <f>Q54+Q72+Q79+Q90</f>
        <v>11230000</v>
      </c>
      <c r="AM90" s="308" t="str">
        <f t="shared" si="39"/>
        <v/>
      </c>
      <c r="AN90" s="369" t="str">
        <f t="shared" si="31"/>
        <v/>
      </c>
      <c r="AO90" s="291" t="s">
        <v>4454</v>
      </c>
      <c r="AR90" s="106">
        <f>SUBTOTAL(9,AR80:AR89)</f>
        <v>2550000</v>
      </c>
      <c r="AS90" s="107"/>
      <c r="AT90" s="108">
        <f>SUBTOTAL(9,AT80:AT89)</f>
        <v>0</v>
      </c>
      <c r="AU90" s="109"/>
      <c r="AV90" s="110" t="e">
        <f>SUBTOTAL(9,AV80:AV89)</f>
        <v>#REF!</v>
      </c>
    </row>
    <row r="91" spans="1:48" ht="25.5" customHeight="1" outlineLevel="2">
      <c r="A91" s="291">
        <v>2121</v>
      </c>
      <c r="B91" s="610" t="s">
        <v>4530</v>
      </c>
      <c r="C91" s="551">
        <v>21</v>
      </c>
      <c r="D91" s="291">
        <v>2121</v>
      </c>
      <c r="E91" s="339" t="s">
        <v>4460</v>
      </c>
      <c r="F91" s="340" t="s">
        <v>5208</v>
      </c>
      <c r="G91" s="341"/>
      <c r="H91" s="552" t="s">
        <v>5506</v>
      </c>
      <c r="I91" s="343">
        <v>21</v>
      </c>
      <c r="J91" s="344" t="s">
        <v>4507</v>
      </c>
      <c r="K91" s="553">
        <v>8</v>
      </c>
      <c r="L91" s="346">
        <v>44289</v>
      </c>
      <c r="M91" s="554" t="s">
        <v>13</v>
      </c>
      <c r="N91" s="438">
        <v>44535</v>
      </c>
      <c r="O91" s="349">
        <v>1100000</v>
      </c>
      <c r="P91" s="555">
        <v>1100000</v>
      </c>
      <c r="Q91" s="351">
        <f>R91+S91</f>
        <v>1100000</v>
      </c>
      <c r="R91" s="352"/>
      <c r="S91" s="201">
        <v>1100000</v>
      </c>
      <c r="T91" s="556">
        <v>1100000</v>
      </c>
      <c r="U91" s="355">
        <v>1100000</v>
      </c>
      <c r="V91" s="206"/>
      <c r="W91" s="611"/>
      <c r="X91" s="173" t="s">
        <v>4506</v>
      </c>
      <c r="Y91" s="557"/>
      <c r="Z91" s="557"/>
      <c r="AA91" s="198">
        <f>Q91+AB91-AJ91</f>
        <v>2300000</v>
      </c>
      <c r="AB91" s="48">
        <f>SUM(AE91:AI91)+AJ91</f>
        <v>2300000</v>
      </c>
      <c r="AC91" s="265"/>
      <c r="AD91" s="362">
        <f>SUM(AE91:AJ91)-AJ91</f>
        <v>1200000</v>
      </c>
      <c r="AE91" s="202">
        <v>1200000</v>
      </c>
      <c r="AF91" s="203"/>
      <c r="AG91" s="203"/>
      <c r="AH91" s="203"/>
      <c r="AI91" s="204"/>
      <c r="AJ91" s="143">
        <f>+S91</f>
        <v>1100000</v>
      </c>
      <c r="AK91" s="558">
        <v>500000</v>
      </c>
      <c r="AL91" s="559" t="s">
        <v>5439</v>
      </c>
      <c r="AM91" s="308" t="str">
        <f t="shared" si="39"/>
        <v>2121</v>
      </c>
      <c r="AN91" s="369" t="str">
        <f t="shared" si="31"/>
        <v>2121</v>
      </c>
      <c r="AO91" s="291">
        <v>2121</v>
      </c>
      <c r="AR91" s="47">
        <f>U92+AB91</f>
        <v>2460000</v>
      </c>
      <c r="AS91" s="54"/>
      <c r="AT91" s="55"/>
      <c r="AU91" s="56"/>
      <c r="AV91" s="57" t="e">
        <f>#REF!-#REF!</f>
        <v>#REF!</v>
      </c>
    </row>
    <row r="92" spans="1:48" ht="25.5" customHeight="1" outlineLevel="2">
      <c r="A92" s="291">
        <v>2122</v>
      </c>
      <c r="B92" s="482" t="s">
        <v>4459</v>
      </c>
      <c r="C92" s="458">
        <v>21</v>
      </c>
      <c r="D92" s="291">
        <v>2122</v>
      </c>
      <c r="E92" s="407" t="s">
        <v>4460</v>
      </c>
      <c r="F92" s="428" t="s">
        <v>5208</v>
      </c>
      <c r="G92" s="409"/>
      <c r="H92" s="429" t="s">
        <v>5507</v>
      </c>
      <c r="I92" s="411">
        <v>21</v>
      </c>
      <c r="J92" s="459" t="s">
        <v>4508</v>
      </c>
      <c r="K92" s="437"/>
      <c r="L92" s="413">
        <v>44338</v>
      </c>
      <c r="M92" s="464" t="s">
        <v>13</v>
      </c>
      <c r="N92" s="415">
        <v>44286</v>
      </c>
      <c r="O92" s="280">
        <v>0</v>
      </c>
      <c r="P92" s="465">
        <v>160000</v>
      </c>
      <c r="Q92" s="263">
        <f>R92+S92</f>
        <v>160000</v>
      </c>
      <c r="R92" s="284">
        <v>160000</v>
      </c>
      <c r="S92" s="285"/>
      <c r="T92" s="466">
        <v>160000</v>
      </c>
      <c r="U92" s="418">
        <v>160000</v>
      </c>
      <c r="V92" s="43"/>
      <c r="W92" s="44"/>
      <c r="X92" s="78">
        <v>43931</v>
      </c>
      <c r="Y92" s="46"/>
      <c r="Z92" s="46"/>
      <c r="AA92" s="47">
        <f>Q92+AB92-AJ92</f>
        <v>853000</v>
      </c>
      <c r="AB92" s="48">
        <f>SUM(AE92:AI92)</f>
        <v>693000</v>
      </c>
      <c r="AC92" s="265"/>
      <c r="AD92" s="424">
        <f>SUM(AE92:AJ92)-AJ92</f>
        <v>693000</v>
      </c>
      <c r="AE92" s="266">
        <v>693000</v>
      </c>
      <c r="AF92" s="50"/>
      <c r="AG92" s="50"/>
      <c r="AH92" s="50"/>
      <c r="AI92" s="51"/>
      <c r="AJ92" s="52"/>
      <c r="AK92" s="462"/>
      <c r="AL92" s="442"/>
      <c r="AM92" s="308" t="str">
        <f t="shared" si="39"/>
        <v>2122</v>
      </c>
      <c r="AN92" s="369" t="str">
        <f t="shared" si="31"/>
        <v>2122</v>
      </c>
      <c r="AO92" s="291">
        <v>2122</v>
      </c>
      <c r="AR92" s="47">
        <f>U93+AB92</f>
        <v>693000</v>
      </c>
      <c r="AS92" s="54"/>
      <c r="AT92" s="55"/>
      <c r="AU92" s="56"/>
      <c r="AV92" s="57" t="e">
        <f>#REF!-#REF!</f>
        <v>#REF!</v>
      </c>
    </row>
    <row r="93" spans="1:48" s="470" customFormat="1" ht="25.5" customHeight="1" outlineLevel="2">
      <c r="A93" s="463" t="s">
        <v>4454</v>
      </c>
      <c r="B93" s="485"/>
      <c r="C93" s="472" t="s">
        <v>4507</v>
      </c>
      <c r="D93" s="463" t="s">
        <v>4454</v>
      </c>
      <c r="E93" s="473"/>
      <c r="F93" s="474" t="s">
        <v>5208</v>
      </c>
      <c r="G93" s="475"/>
      <c r="H93" s="486"/>
      <c r="I93" s="476"/>
      <c r="J93" s="477"/>
      <c r="K93" s="437"/>
      <c r="L93" s="487"/>
      <c r="M93" s="464" t="s">
        <v>13</v>
      </c>
      <c r="N93" s="488"/>
      <c r="O93" s="280">
        <v>0</v>
      </c>
      <c r="P93" s="465"/>
      <c r="Q93" s="263">
        <f>R93+S93</f>
        <v>0</v>
      </c>
      <c r="R93" s="278"/>
      <c r="S93" s="279"/>
      <c r="T93" s="466"/>
      <c r="U93" s="418">
        <v>0</v>
      </c>
      <c r="V93" s="61"/>
      <c r="W93" s="68"/>
      <c r="X93" s="79"/>
      <c r="Y93" s="70"/>
      <c r="Z93" s="70"/>
      <c r="AA93" s="63">
        <f>Q93+AB93-AJ93</f>
        <v>0</v>
      </c>
      <c r="AB93" s="72"/>
      <c r="AC93" s="267"/>
      <c r="AD93" s="545">
        <f>SUM(AE93:AJ93)-AJ93</f>
        <v>0</v>
      </c>
      <c r="AE93" s="62"/>
      <c r="AF93" s="73"/>
      <c r="AG93" s="73"/>
      <c r="AH93" s="73"/>
      <c r="AI93" s="74"/>
      <c r="AJ93" s="75"/>
      <c r="AK93" s="467"/>
      <c r="AL93" s="546"/>
      <c r="AM93" s="468" t="str">
        <f t="shared" si="39"/>
        <v/>
      </c>
      <c r="AN93" s="469" t="str">
        <f t="shared" si="31"/>
        <v/>
      </c>
      <c r="AO93" s="463" t="s">
        <v>4454</v>
      </c>
      <c r="AP93" s="463"/>
      <c r="AR93" s="63"/>
      <c r="AS93" s="64"/>
      <c r="AT93" s="65"/>
      <c r="AU93" s="66"/>
      <c r="AV93" s="67" t="e">
        <f>#REF!-#REF!</f>
        <v>#REF!</v>
      </c>
    </row>
    <row r="94" spans="1:48" s="470" customFormat="1" ht="25.5" customHeight="1" outlineLevel="2">
      <c r="A94" s="463" t="s">
        <v>4454</v>
      </c>
      <c r="B94" s="485"/>
      <c r="C94" s="472" t="s">
        <v>4507</v>
      </c>
      <c r="D94" s="463" t="s">
        <v>4454</v>
      </c>
      <c r="E94" s="473"/>
      <c r="F94" s="474" t="s">
        <v>5208</v>
      </c>
      <c r="G94" s="475"/>
      <c r="H94" s="486"/>
      <c r="I94" s="476"/>
      <c r="J94" s="477"/>
      <c r="K94" s="437"/>
      <c r="L94" s="487"/>
      <c r="M94" s="464" t="s">
        <v>13</v>
      </c>
      <c r="N94" s="488"/>
      <c r="O94" s="280">
        <v>0</v>
      </c>
      <c r="P94" s="465"/>
      <c r="Q94" s="263">
        <f>R94+S94</f>
        <v>0</v>
      </c>
      <c r="R94" s="278"/>
      <c r="S94" s="279"/>
      <c r="T94" s="466"/>
      <c r="U94" s="418">
        <v>0</v>
      </c>
      <c r="V94" s="61"/>
      <c r="W94" s="68"/>
      <c r="X94" s="79"/>
      <c r="Y94" s="70"/>
      <c r="Z94" s="70"/>
      <c r="AA94" s="63">
        <f>Q94+AB94-AJ94</f>
        <v>0</v>
      </c>
      <c r="AB94" s="72"/>
      <c r="AC94" s="267"/>
      <c r="AD94" s="545">
        <f>SUM(AE94:AJ94)-AJ94</f>
        <v>0</v>
      </c>
      <c r="AE94" s="62"/>
      <c r="AF94" s="73"/>
      <c r="AG94" s="73"/>
      <c r="AH94" s="73"/>
      <c r="AI94" s="74"/>
      <c r="AJ94" s="75"/>
      <c r="AK94" s="467"/>
      <c r="AL94" s="546"/>
      <c r="AM94" s="468" t="str">
        <f t="shared" si="39"/>
        <v/>
      </c>
      <c r="AN94" s="469" t="str">
        <f t="shared" si="31"/>
        <v/>
      </c>
      <c r="AO94" s="463" t="s">
        <v>4454</v>
      </c>
      <c r="AP94" s="463"/>
      <c r="AR94" s="63"/>
      <c r="AS94" s="64"/>
      <c r="AT94" s="65"/>
      <c r="AU94" s="66"/>
      <c r="AV94" s="67" t="e">
        <f>#REF!-#REF!</f>
        <v>#REF!</v>
      </c>
    </row>
    <row r="95" spans="1:48" customFormat="1" ht="25.5" customHeight="1" outlineLevel="2" thickBot="1">
      <c r="A95" s="542">
        <v>1521</v>
      </c>
      <c r="B95" s="482" t="s">
        <v>4459</v>
      </c>
      <c r="C95" s="458">
        <v>21</v>
      </c>
      <c r="D95" s="542">
        <v>1521</v>
      </c>
      <c r="E95" s="407" t="s">
        <v>4553</v>
      </c>
      <c r="F95" s="428" t="s">
        <v>5208</v>
      </c>
      <c r="G95" s="409"/>
      <c r="H95" s="429" t="s">
        <v>5508</v>
      </c>
      <c r="I95" s="411">
        <v>15</v>
      </c>
      <c r="J95" s="459" t="s">
        <v>4507</v>
      </c>
      <c r="K95" s="560"/>
      <c r="L95" s="413"/>
      <c r="M95" s="464" t="s">
        <v>13</v>
      </c>
      <c r="N95" s="415"/>
      <c r="O95" s="280">
        <v>50000</v>
      </c>
      <c r="P95" s="465">
        <v>50000</v>
      </c>
      <c r="Q95" s="263">
        <f>R95+S95</f>
        <v>50000</v>
      </c>
      <c r="R95" s="284">
        <v>50000</v>
      </c>
      <c r="S95" s="285"/>
      <c r="T95" s="466">
        <v>50000</v>
      </c>
      <c r="U95" s="561">
        <v>50000</v>
      </c>
      <c r="V95" s="43"/>
      <c r="W95" s="44"/>
      <c r="X95" s="45">
        <v>43200</v>
      </c>
      <c r="Y95" s="167"/>
      <c r="Z95" s="46"/>
      <c r="AA95" s="168">
        <f>Q95+AB95-AJ95</f>
        <v>50000</v>
      </c>
      <c r="AB95" s="169"/>
      <c r="AC95" s="612"/>
      <c r="AD95" s="424">
        <f>SUM(AE95:AJ95)-AJ95</f>
        <v>0</v>
      </c>
      <c r="AE95" s="49"/>
      <c r="AF95" s="50"/>
      <c r="AG95" s="50"/>
      <c r="AH95" s="50"/>
      <c r="AI95" s="51"/>
      <c r="AJ95" s="52"/>
      <c r="AK95" s="462"/>
      <c r="AL95" s="442"/>
      <c r="AM95" s="308" t="str">
        <f t="shared" si="39"/>
        <v>1521</v>
      </c>
      <c r="AN95" s="369" t="str">
        <f t="shared" si="31"/>
        <v>1521</v>
      </c>
      <c r="AO95" s="542">
        <v>1521</v>
      </c>
      <c r="AP95" s="542"/>
      <c r="AR95" s="168"/>
      <c r="AS95" s="54"/>
      <c r="AT95" s="55"/>
      <c r="AU95" s="41"/>
      <c r="AV95" s="57" t="e">
        <f>#REF!-#REF!</f>
        <v>#REF!</v>
      </c>
    </row>
    <row r="96" spans="1:48" ht="25.5" customHeight="1" outlineLevel="1" thickBot="1">
      <c r="A96" s="291" t="s">
        <v>4454</v>
      </c>
      <c r="B96" s="507"/>
      <c r="C96" s="508">
        <v>21</v>
      </c>
      <c r="D96" s="291" t="s">
        <v>4454</v>
      </c>
      <c r="E96" s="509"/>
      <c r="F96" s="510" t="s">
        <v>5209</v>
      </c>
      <c r="G96" s="511"/>
      <c r="H96" s="512"/>
      <c r="I96" s="513"/>
      <c r="J96" s="514"/>
      <c r="K96" s="515"/>
      <c r="L96" s="516"/>
      <c r="M96" s="517"/>
      <c r="N96" s="518"/>
      <c r="O96" s="519">
        <v>1150000</v>
      </c>
      <c r="P96" s="520"/>
      <c r="Q96" s="521">
        <f>SUBTOTAL(9,Q91:Q95)</f>
        <v>1310000</v>
      </c>
      <c r="R96" s="522">
        <f>SUBTOTAL(9,R91:R95)</f>
        <v>210000</v>
      </c>
      <c r="S96" s="523">
        <f>SUBTOTAL(9,S91:S95)</f>
        <v>1100000</v>
      </c>
      <c r="T96" s="524"/>
      <c r="U96" s="549">
        <v>1310000</v>
      </c>
      <c r="V96" s="94"/>
      <c r="W96" s="95"/>
      <c r="X96" s="96"/>
      <c r="Y96" s="97"/>
      <c r="Z96" s="97"/>
      <c r="AA96" s="98">
        <f>SUBTOTAL(9,AA91:AA95)</f>
        <v>3203000</v>
      </c>
      <c r="AB96" s="176">
        <f>SUBTOTAL(9,AB91:AB95)</f>
        <v>2993000</v>
      </c>
      <c r="AC96" s="273"/>
      <c r="AD96" s="526">
        <f>SUM(AE96:AJ96)</f>
        <v>2993000</v>
      </c>
      <c r="AE96" s="100">
        <f t="shared" ref="AE96:AK96" si="41">SUBTOTAL(9,AE91:AE95)</f>
        <v>1893000</v>
      </c>
      <c r="AF96" s="101">
        <f t="shared" si="41"/>
        <v>0</v>
      </c>
      <c r="AG96" s="101">
        <f t="shared" si="41"/>
        <v>0</v>
      </c>
      <c r="AH96" s="101">
        <f t="shared" si="41"/>
        <v>0</v>
      </c>
      <c r="AI96" s="102">
        <f t="shared" si="41"/>
        <v>0</v>
      </c>
      <c r="AJ96" s="103">
        <f t="shared" si="41"/>
        <v>1100000</v>
      </c>
      <c r="AK96" s="527">
        <f t="shared" si="41"/>
        <v>500000</v>
      </c>
      <c r="AL96" s="563"/>
      <c r="AM96" s="308" t="str">
        <f t="shared" si="39"/>
        <v/>
      </c>
      <c r="AN96" s="369" t="str">
        <f t="shared" si="31"/>
        <v/>
      </c>
      <c r="AO96" s="291" t="s">
        <v>4454</v>
      </c>
      <c r="AR96" s="106">
        <f>SUBTOTAL(9,AR91:AR95)</f>
        <v>3153000</v>
      </c>
      <c r="AS96" s="107"/>
      <c r="AT96" s="108">
        <f>SUBTOTAL(9,AT91:AT95)</f>
        <v>0</v>
      </c>
      <c r="AU96" s="109"/>
      <c r="AV96" s="110" t="e">
        <f>SUBTOTAL(9,AV91:AV95)</f>
        <v>#REF!</v>
      </c>
    </row>
    <row r="97" spans="1:48" ht="25.5" customHeight="1" outlineLevel="2" thickBot="1">
      <c r="A97" s="291">
        <v>2123</v>
      </c>
      <c r="B97" s="569" t="s">
        <v>4530</v>
      </c>
      <c r="C97" s="458">
        <v>22</v>
      </c>
      <c r="D97" s="291">
        <v>2123</v>
      </c>
      <c r="E97" s="407" t="s">
        <v>4460</v>
      </c>
      <c r="F97" s="428" t="s">
        <v>5509</v>
      </c>
      <c r="G97" s="409">
        <v>100</v>
      </c>
      <c r="H97" s="410" t="s">
        <v>5510</v>
      </c>
      <c r="I97" s="411">
        <v>21</v>
      </c>
      <c r="J97" s="459" t="s">
        <v>4509</v>
      </c>
      <c r="K97" s="460">
        <v>7</v>
      </c>
      <c r="L97" s="413">
        <v>44430</v>
      </c>
      <c r="M97" s="464" t="s">
        <v>13</v>
      </c>
      <c r="N97" s="415">
        <v>44514</v>
      </c>
      <c r="O97" s="280">
        <v>6000000</v>
      </c>
      <c r="P97" s="465"/>
      <c r="Q97" s="263">
        <f>R97+S97-AB97+AB97</f>
        <v>10000000</v>
      </c>
      <c r="R97" s="284"/>
      <c r="S97" s="59">
        <v>10000000</v>
      </c>
      <c r="T97" s="466"/>
      <c r="U97" s="418">
        <v>8000000</v>
      </c>
      <c r="V97" s="43"/>
      <c r="W97" s="44"/>
      <c r="X97" s="139" t="s">
        <v>4506</v>
      </c>
      <c r="Y97" s="46"/>
      <c r="Z97" s="46"/>
      <c r="AA97" s="47">
        <f>AB97-AI97+R909</f>
        <v>15830000</v>
      </c>
      <c r="AB97" s="48">
        <f>SUM(AE97:AH97)+AJ97</f>
        <v>20800000</v>
      </c>
      <c r="AC97" s="265"/>
      <c r="AD97" s="424">
        <f t="shared" ref="AD97:AD103" si="42">SUM(AE97:AJ97)-AJ97</f>
        <v>15770000</v>
      </c>
      <c r="AE97" s="49">
        <v>5500000</v>
      </c>
      <c r="AF97" s="50">
        <v>4300000</v>
      </c>
      <c r="AG97" s="50">
        <v>1000000</v>
      </c>
      <c r="AH97" s="76"/>
      <c r="AI97" s="170">
        <v>4970000</v>
      </c>
      <c r="AJ97" s="52">
        <f>+S97</f>
        <v>10000000</v>
      </c>
      <c r="AK97" s="462"/>
      <c r="AL97" s="396" t="s">
        <v>5511</v>
      </c>
      <c r="AM97" s="308" t="str">
        <f t="shared" si="39"/>
        <v>2123</v>
      </c>
      <c r="AN97" s="369" t="str">
        <f t="shared" ref="AN97:AN128" si="43">I97&amp;J97</f>
        <v>2123</v>
      </c>
      <c r="AO97" s="291">
        <v>2123</v>
      </c>
      <c r="AR97" s="47">
        <f>AB97-AI97-AJ97</f>
        <v>5830000</v>
      </c>
      <c r="AS97" s="54"/>
      <c r="AT97" s="55"/>
      <c r="AU97" s="56"/>
      <c r="AV97" s="57" t="e">
        <f>#REF!-#REF!</f>
        <v>#REF!</v>
      </c>
    </row>
    <row r="98" spans="1:48" ht="25.5" customHeight="1" outlineLevel="2" thickBot="1">
      <c r="A98" s="291">
        <v>2221</v>
      </c>
      <c r="B98" s="482" t="s">
        <v>4459</v>
      </c>
      <c r="C98" s="458">
        <v>22</v>
      </c>
      <c r="D98" s="291">
        <v>2221</v>
      </c>
      <c r="E98" s="407" t="s">
        <v>4541</v>
      </c>
      <c r="F98" s="428" t="s">
        <v>5509</v>
      </c>
      <c r="G98" s="409">
        <v>100</v>
      </c>
      <c r="H98" s="429" t="s">
        <v>5512</v>
      </c>
      <c r="I98" s="411">
        <v>22</v>
      </c>
      <c r="J98" s="459" t="s">
        <v>4507</v>
      </c>
      <c r="K98" s="437"/>
      <c r="L98" s="413">
        <v>44561</v>
      </c>
      <c r="M98" s="464" t="s">
        <v>13</v>
      </c>
      <c r="N98" s="415">
        <v>44206</v>
      </c>
      <c r="O98" s="280">
        <v>6136000</v>
      </c>
      <c r="P98" s="465">
        <v>6400000</v>
      </c>
      <c r="Q98" s="263">
        <f t="shared" ref="Q98:Q103" si="44">R98+S98</f>
        <v>6400000</v>
      </c>
      <c r="R98" s="613">
        <v>6400000</v>
      </c>
      <c r="S98" s="285"/>
      <c r="T98" s="466">
        <v>6400000</v>
      </c>
      <c r="U98" s="418">
        <v>6217000</v>
      </c>
      <c r="V98" s="43"/>
      <c r="W98" s="44"/>
      <c r="X98" s="78">
        <f>+N98+14</f>
        <v>44220</v>
      </c>
      <c r="Y98" s="46"/>
      <c r="Z98" s="46"/>
      <c r="AA98" s="47">
        <f>AB98-AI98+R910</f>
        <v>6300000</v>
      </c>
      <c r="AB98" s="48">
        <f>SUM(AE98:AH98)+AJ98</f>
        <v>6400000</v>
      </c>
      <c r="AC98" s="265"/>
      <c r="AD98" s="424">
        <f t="shared" si="42"/>
        <v>100000</v>
      </c>
      <c r="AE98" s="49"/>
      <c r="AF98" s="50"/>
      <c r="AG98" s="50"/>
      <c r="AH98" s="76"/>
      <c r="AI98" s="170">
        <v>100000</v>
      </c>
      <c r="AJ98" s="52">
        <v>6400000</v>
      </c>
      <c r="AK98" s="462"/>
      <c r="AL98" s="442" t="s">
        <v>4542</v>
      </c>
      <c r="AM98" s="308" t="str">
        <f t="shared" si="39"/>
        <v>2221</v>
      </c>
      <c r="AN98" s="369" t="str">
        <f t="shared" si="43"/>
        <v>2221</v>
      </c>
      <c r="AO98" s="291">
        <v>2221</v>
      </c>
      <c r="AR98" s="47">
        <f>U99+AB98</f>
        <v>6400000</v>
      </c>
      <c r="AS98" s="54"/>
      <c r="AT98" s="55"/>
      <c r="AU98" s="56"/>
      <c r="AV98" s="57" t="e">
        <f>#REF!-#REF!</f>
        <v>#REF!</v>
      </c>
    </row>
    <row r="99" spans="1:48" s="470" customFormat="1" ht="25.5" customHeight="1" outlineLevel="2">
      <c r="A99" s="463" t="s">
        <v>4454</v>
      </c>
      <c r="B99" s="607" t="s">
        <v>4459</v>
      </c>
      <c r="C99" s="472">
        <v>22</v>
      </c>
      <c r="D99" s="463" t="s">
        <v>4454</v>
      </c>
      <c r="E99" s="473" t="s">
        <v>4543</v>
      </c>
      <c r="F99" s="474" t="s">
        <v>5509</v>
      </c>
      <c r="G99" s="475"/>
      <c r="H99" s="570" t="s">
        <v>5513</v>
      </c>
      <c r="I99" s="476"/>
      <c r="J99" s="477"/>
      <c r="K99" s="437"/>
      <c r="L99" s="487"/>
      <c r="M99" s="464" t="s">
        <v>13</v>
      </c>
      <c r="N99" s="488"/>
      <c r="O99" s="280">
        <v>0</v>
      </c>
      <c r="P99" s="465"/>
      <c r="Q99" s="263">
        <f t="shared" si="44"/>
        <v>0</v>
      </c>
      <c r="R99" s="278"/>
      <c r="S99" s="279"/>
      <c r="T99" s="466"/>
      <c r="U99" s="418">
        <v>0</v>
      </c>
      <c r="V99" s="61"/>
      <c r="W99" s="68"/>
      <c r="X99" s="171"/>
      <c r="Y99" s="172"/>
      <c r="Z99" s="70"/>
      <c r="AA99" s="71">
        <f>Q99+AB99-AJ99</f>
        <v>0</v>
      </c>
      <c r="AB99" s="166"/>
      <c r="AC99" s="281"/>
      <c r="AD99" s="545">
        <f t="shared" si="42"/>
        <v>0</v>
      </c>
      <c r="AE99" s="62"/>
      <c r="AF99" s="73"/>
      <c r="AG99" s="73"/>
      <c r="AH99" s="73"/>
      <c r="AI99" s="74"/>
      <c r="AJ99" s="75"/>
      <c r="AK99" s="467"/>
      <c r="AL99" s="546" t="s">
        <v>4536</v>
      </c>
      <c r="AM99" s="468" t="str">
        <f t="shared" si="39"/>
        <v/>
      </c>
      <c r="AN99" s="469" t="str">
        <f t="shared" si="43"/>
        <v/>
      </c>
      <c r="AO99" s="463" t="s">
        <v>4454</v>
      </c>
      <c r="AP99" s="463"/>
      <c r="AR99" s="71"/>
      <c r="AS99" s="64"/>
      <c r="AT99" s="65"/>
      <c r="AU99" s="66"/>
      <c r="AV99" s="67" t="e">
        <f>#REF!-#REF!</f>
        <v>#REF!</v>
      </c>
    </row>
    <row r="100" spans="1:48" s="470" customFormat="1" ht="25.5" customHeight="1" outlineLevel="2">
      <c r="A100" s="463" t="s">
        <v>4454</v>
      </c>
      <c r="B100" s="607" t="s">
        <v>4459</v>
      </c>
      <c r="C100" s="472">
        <v>22</v>
      </c>
      <c r="D100" s="463" t="s">
        <v>4454</v>
      </c>
      <c r="E100" s="473" t="s">
        <v>4534</v>
      </c>
      <c r="F100" s="474" t="s">
        <v>5509</v>
      </c>
      <c r="G100" s="475"/>
      <c r="H100" s="570" t="s">
        <v>5514</v>
      </c>
      <c r="I100" s="476"/>
      <c r="J100" s="477"/>
      <c r="K100" s="437"/>
      <c r="L100" s="487"/>
      <c r="M100" s="464" t="s">
        <v>13</v>
      </c>
      <c r="N100" s="488"/>
      <c r="O100" s="280">
        <v>0</v>
      </c>
      <c r="P100" s="465"/>
      <c r="Q100" s="263">
        <f t="shared" si="44"/>
        <v>0</v>
      </c>
      <c r="R100" s="278"/>
      <c r="S100" s="279"/>
      <c r="T100" s="466"/>
      <c r="U100" s="418">
        <v>0</v>
      </c>
      <c r="V100" s="61"/>
      <c r="W100" s="68"/>
      <c r="X100" s="171"/>
      <c r="Y100" s="172"/>
      <c r="Z100" s="70"/>
      <c r="AA100" s="71">
        <f>Q100+AB100-AJ100</f>
        <v>0</v>
      </c>
      <c r="AB100" s="166"/>
      <c r="AC100" s="281"/>
      <c r="AD100" s="545">
        <f t="shared" si="42"/>
        <v>0</v>
      </c>
      <c r="AE100" s="62"/>
      <c r="AF100" s="73"/>
      <c r="AG100" s="73"/>
      <c r="AH100" s="73"/>
      <c r="AI100" s="74"/>
      <c r="AJ100" s="75"/>
      <c r="AK100" s="467"/>
      <c r="AL100" s="546" t="s">
        <v>4536</v>
      </c>
      <c r="AM100" s="468" t="str">
        <f t="shared" si="39"/>
        <v/>
      </c>
      <c r="AN100" s="469" t="str">
        <f t="shared" si="43"/>
        <v/>
      </c>
      <c r="AO100" s="463" t="s">
        <v>4454</v>
      </c>
      <c r="AP100" s="463"/>
      <c r="AR100" s="71"/>
      <c r="AS100" s="64"/>
      <c r="AT100" s="65"/>
      <c r="AU100" s="66"/>
      <c r="AV100" s="67" t="e">
        <f>#REF!-#REF!</f>
        <v>#REF!</v>
      </c>
    </row>
    <row r="101" spans="1:48" s="470" customFormat="1" ht="25.5" customHeight="1" outlineLevel="2">
      <c r="A101" s="463" t="s">
        <v>4454</v>
      </c>
      <c r="B101" s="485"/>
      <c r="C101" s="472" t="s">
        <v>4508</v>
      </c>
      <c r="D101" s="463" t="s">
        <v>4454</v>
      </c>
      <c r="E101" s="473"/>
      <c r="F101" s="474" t="s">
        <v>5509</v>
      </c>
      <c r="G101" s="475"/>
      <c r="H101" s="486"/>
      <c r="I101" s="476"/>
      <c r="J101" s="477"/>
      <c r="K101" s="437"/>
      <c r="L101" s="487"/>
      <c r="M101" s="464" t="s">
        <v>13</v>
      </c>
      <c r="N101" s="488"/>
      <c r="O101" s="280">
        <v>0</v>
      </c>
      <c r="P101" s="465"/>
      <c r="Q101" s="263">
        <f t="shared" si="44"/>
        <v>0</v>
      </c>
      <c r="R101" s="278"/>
      <c r="S101" s="279"/>
      <c r="T101" s="466"/>
      <c r="U101" s="418">
        <v>0</v>
      </c>
      <c r="V101" s="61"/>
      <c r="W101" s="68"/>
      <c r="X101" s="79"/>
      <c r="Y101" s="70"/>
      <c r="Z101" s="70"/>
      <c r="AA101" s="63">
        <f>Q101+AB101-AJ101</f>
        <v>0</v>
      </c>
      <c r="AB101" s="72"/>
      <c r="AC101" s="267"/>
      <c r="AD101" s="545">
        <f t="shared" si="42"/>
        <v>0</v>
      </c>
      <c r="AE101" s="62"/>
      <c r="AF101" s="73"/>
      <c r="AG101" s="73"/>
      <c r="AH101" s="73"/>
      <c r="AI101" s="74"/>
      <c r="AJ101" s="75"/>
      <c r="AK101" s="467"/>
      <c r="AL101" s="546"/>
      <c r="AM101" s="468" t="str">
        <f t="shared" si="39"/>
        <v/>
      </c>
      <c r="AN101" s="469" t="str">
        <f t="shared" si="43"/>
        <v/>
      </c>
      <c r="AO101" s="463" t="s">
        <v>4454</v>
      </c>
      <c r="AP101" s="463"/>
      <c r="AR101" s="63"/>
      <c r="AS101" s="64"/>
      <c r="AT101" s="65"/>
      <c r="AU101" s="66"/>
      <c r="AV101" s="67" t="e">
        <f>#REF!-#REF!</f>
        <v>#REF!</v>
      </c>
    </row>
    <row r="102" spans="1:48" s="470" customFormat="1" ht="25.5" customHeight="1" outlineLevel="2">
      <c r="A102" s="463" t="s">
        <v>4454</v>
      </c>
      <c r="B102" s="485"/>
      <c r="C102" s="472" t="s">
        <v>4508</v>
      </c>
      <c r="D102" s="463" t="s">
        <v>4454</v>
      </c>
      <c r="E102" s="473"/>
      <c r="F102" s="474" t="s">
        <v>5509</v>
      </c>
      <c r="G102" s="475"/>
      <c r="H102" s="486"/>
      <c r="I102" s="476"/>
      <c r="J102" s="477"/>
      <c r="K102" s="437"/>
      <c r="L102" s="487"/>
      <c r="M102" s="464" t="s">
        <v>13</v>
      </c>
      <c r="N102" s="488"/>
      <c r="O102" s="280">
        <v>0</v>
      </c>
      <c r="P102" s="465"/>
      <c r="Q102" s="263">
        <f t="shared" si="44"/>
        <v>0</v>
      </c>
      <c r="R102" s="278"/>
      <c r="S102" s="279"/>
      <c r="T102" s="466"/>
      <c r="U102" s="418">
        <v>0</v>
      </c>
      <c r="V102" s="61"/>
      <c r="W102" s="68"/>
      <c r="X102" s="79"/>
      <c r="Y102" s="70"/>
      <c r="Z102" s="70"/>
      <c r="AA102" s="63">
        <f>Q102+AB102-AJ102</f>
        <v>0</v>
      </c>
      <c r="AB102" s="614"/>
      <c r="AC102" s="267"/>
      <c r="AD102" s="545">
        <f t="shared" si="42"/>
        <v>0</v>
      </c>
      <c r="AE102" s="62"/>
      <c r="AF102" s="73"/>
      <c r="AG102" s="73"/>
      <c r="AH102" s="73"/>
      <c r="AI102" s="74"/>
      <c r="AJ102" s="75"/>
      <c r="AK102" s="467"/>
      <c r="AL102" s="546"/>
      <c r="AM102" s="468" t="str">
        <f t="shared" si="39"/>
        <v/>
      </c>
      <c r="AN102" s="469" t="str">
        <f t="shared" si="43"/>
        <v/>
      </c>
      <c r="AO102" s="463" t="s">
        <v>4454</v>
      </c>
      <c r="AP102" s="463"/>
      <c r="AR102" s="63"/>
      <c r="AS102" s="64"/>
      <c r="AT102" s="65"/>
      <c r="AU102" s="66"/>
      <c r="AV102" s="67" t="e">
        <f>#REF!-#REF!</f>
        <v>#REF!</v>
      </c>
    </row>
    <row r="103" spans="1:48" ht="25.5" customHeight="1" outlineLevel="2" thickBot="1">
      <c r="A103" s="291">
        <v>1721</v>
      </c>
      <c r="B103" s="405" t="s">
        <v>4500</v>
      </c>
      <c r="C103" s="458">
        <v>22</v>
      </c>
      <c r="D103" s="291">
        <v>1721</v>
      </c>
      <c r="E103" s="407" t="s">
        <v>4512</v>
      </c>
      <c r="F103" s="428" t="s">
        <v>5509</v>
      </c>
      <c r="G103" s="409"/>
      <c r="H103" s="410" t="s">
        <v>5515</v>
      </c>
      <c r="I103" s="411">
        <v>17</v>
      </c>
      <c r="J103" s="459" t="s">
        <v>4507</v>
      </c>
      <c r="K103" s="460">
        <v>23</v>
      </c>
      <c r="L103" s="413">
        <v>44287</v>
      </c>
      <c r="M103" s="464" t="s">
        <v>13</v>
      </c>
      <c r="N103" s="415">
        <v>44286</v>
      </c>
      <c r="O103" s="280">
        <v>900000</v>
      </c>
      <c r="P103" s="465">
        <v>1200000</v>
      </c>
      <c r="Q103" s="263">
        <f t="shared" si="44"/>
        <v>1000000</v>
      </c>
      <c r="R103" s="284">
        <v>400000</v>
      </c>
      <c r="S103" s="59">
        <v>600000</v>
      </c>
      <c r="T103" s="466">
        <v>1200000</v>
      </c>
      <c r="U103" s="561">
        <v>900000</v>
      </c>
      <c r="V103" s="43"/>
      <c r="W103" s="44"/>
      <c r="X103" s="173" t="s">
        <v>4506</v>
      </c>
      <c r="Y103" s="174"/>
      <c r="Z103" s="46"/>
      <c r="AA103" s="47">
        <f>Q103+AB103-AJ103</f>
        <v>1000000</v>
      </c>
      <c r="AB103" s="48">
        <f>SUM(AE103:AI103)+AJ103</f>
        <v>600000</v>
      </c>
      <c r="AC103" s="265"/>
      <c r="AD103" s="424">
        <f t="shared" si="42"/>
        <v>0</v>
      </c>
      <c r="AE103" s="49"/>
      <c r="AF103" s="50"/>
      <c r="AG103" s="50"/>
      <c r="AH103" s="50"/>
      <c r="AI103" s="51"/>
      <c r="AJ103" s="52">
        <f>+S103</f>
        <v>600000</v>
      </c>
      <c r="AK103" s="462"/>
      <c r="AL103" s="396" t="s">
        <v>5516</v>
      </c>
      <c r="AM103" s="308" t="str">
        <f t="shared" si="39"/>
        <v>1721</v>
      </c>
      <c r="AN103" s="369" t="str">
        <f t="shared" si="43"/>
        <v>1721</v>
      </c>
      <c r="AO103" s="291">
        <v>1721</v>
      </c>
      <c r="AR103" s="47">
        <f>U104+AB103</f>
        <v>15717000</v>
      </c>
      <c r="AS103" s="54"/>
      <c r="AT103" s="55"/>
      <c r="AU103" s="56"/>
      <c r="AV103" s="57" t="e">
        <f>#REF!-#REF!</f>
        <v>#REF!</v>
      </c>
    </row>
    <row r="104" spans="1:48" ht="25.5" customHeight="1" outlineLevel="1" thickBot="1">
      <c r="A104" s="291" t="s">
        <v>4454</v>
      </c>
      <c r="B104" s="507"/>
      <c r="C104" s="508">
        <v>22</v>
      </c>
      <c r="D104" s="291" t="s">
        <v>4454</v>
      </c>
      <c r="E104" s="509"/>
      <c r="F104" s="510" t="s">
        <v>5210</v>
      </c>
      <c r="G104" s="511"/>
      <c r="H104" s="512"/>
      <c r="I104" s="513"/>
      <c r="J104" s="514"/>
      <c r="K104" s="515"/>
      <c r="L104" s="516"/>
      <c r="M104" s="517"/>
      <c r="N104" s="518"/>
      <c r="O104" s="519">
        <v>13036000</v>
      </c>
      <c r="P104" s="520">
        <f>SUM(P97:P103)</f>
        <v>7600000</v>
      </c>
      <c r="Q104" s="521">
        <f>SUBTOTAL(9,Q97:Q103)</f>
        <v>17400000</v>
      </c>
      <c r="R104" s="522">
        <f>SUBTOTAL(9,R97:R103)</f>
        <v>6800000</v>
      </c>
      <c r="S104" s="523">
        <f>SUBTOTAL(9,S97:S103)</f>
        <v>10600000</v>
      </c>
      <c r="T104" s="524">
        <v>7600000</v>
      </c>
      <c r="U104" s="548">
        <v>15117000</v>
      </c>
      <c r="V104" s="94"/>
      <c r="W104" s="95"/>
      <c r="X104" s="96"/>
      <c r="Y104" s="97"/>
      <c r="Z104" s="97"/>
      <c r="AA104" s="98">
        <f>SUBTOTAL(9,AA97:AA103)</f>
        <v>23130000</v>
      </c>
      <c r="AB104" s="176">
        <f>SUBTOTAL(9,AB97:AB103)</f>
        <v>27800000</v>
      </c>
      <c r="AC104" s="273"/>
      <c r="AD104" s="526">
        <f>SUM(AE104:AJ104)</f>
        <v>32870000</v>
      </c>
      <c r="AE104" s="100">
        <f t="shared" ref="AE104:AK104" si="45">SUBTOTAL(9,AE97:AE103)</f>
        <v>5500000</v>
      </c>
      <c r="AF104" s="101">
        <f t="shared" si="45"/>
        <v>4300000</v>
      </c>
      <c r="AG104" s="101">
        <f t="shared" si="45"/>
        <v>1000000</v>
      </c>
      <c r="AH104" s="101">
        <f t="shared" si="45"/>
        <v>0</v>
      </c>
      <c r="AI104" s="102">
        <f t="shared" si="45"/>
        <v>5070000</v>
      </c>
      <c r="AJ104" s="103">
        <f t="shared" si="45"/>
        <v>17000000</v>
      </c>
      <c r="AK104" s="527">
        <f t="shared" si="45"/>
        <v>0</v>
      </c>
      <c r="AL104" s="563"/>
      <c r="AM104" s="308" t="str">
        <f t="shared" si="39"/>
        <v/>
      </c>
      <c r="AN104" s="369" t="str">
        <f t="shared" si="43"/>
        <v/>
      </c>
      <c r="AO104" s="291" t="s">
        <v>4454</v>
      </c>
      <c r="AR104" s="106">
        <f>SUBTOTAL(9,AR97:AR103)</f>
        <v>27947000</v>
      </c>
      <c r="AS104" s="107"/>
      <c r="AT104" s="108">
        <f>SUBTOTAL(9,AT97:AT97)</f>
        <v>0</v>
      </c>
      <c r="AU104" s="109"/>
      <c r="AV104" s="110" t="e">
        <f>SUBTOTAL(9,AV97:AV103)</f>
        <v>#REF!</v>
      </c>
    </row>
    <row r="105" spans="1:48" s="470" customFormat="1" ht="25.5" customHeight="1" outlineLevel="2">
      <c r="A105" s="463" t="s">
        <v>4454</v>
      </c>
      <c r="B105" s="485" t="s">
        <v>4530</v>
      </c>
      <c r="C105" s="472">
        <v>23</v>
      </c>
      <c r="D105" s="463" t="s">
        <v>4454</v>
      </c>
      <c r="E105" s="473" t="s">
        <v>4460</v>
      </c>
      <c r="F105" s="474" t="s">
        <v>4545</v>
      </c>
      <c r="G105" s="615"/>
      <c r="H105" s="486" t="s">
        <v>5517</v>
      </c>
      <c r="I105" s="476"/>
      <c r="J105" s="477"/>
      <c r="K105" s="437"/>
      <c r="L105" s="487"/>
      <c r="M105" s="464" t="s">
        <v>13</v>
      </c>
      <c r="N105" s="488"/>
      <c r="O105" s="280">
        <v>0</v>
      </c>
      <c r="P105" s="465"/>
      <c r="Q105" s="263">
        <f>R105+S105</f>
        <v>0</v>
      </c>
      <c r="R105" s="278"/>
      <c r="S105" s="279"/>
      <c r="T105" s="466"/>
      <c r="U105" s="384">
        <v>0</v>
      </c>
      <c r="V105" s="61"/>
      <c r="W105" s="68"/>
      <c r="X105" s="79"/>
      <c r="Y105" s="175"/>
      <c r="Z105" s="70"/>
      <c r="AA105" s="71">
        <f>Q105+AB105-AJ105</f>
        <v>0</v>
      </c>
      <c r="AB105" s="72">
        <f>SUM(AE105:AI105)</f>
        <v>0</v>
      </c>
      <c r="AC105" s="267"/>
      <c r="AD105" s="545">
        <f>SUM(AE105:AJ105)</f>
        <v>0</v>
      </c>
      <c r="AE105" s="62"/>
      <c r="AF105" s="73"/>
      <c r="AG105" s="73"/>
      <c r="AH105" s="73"/>
      <c r="AI105" s="74"/>
      <c r="AJ105" s="75"/>
      <c r="AK105" s="467">
        <f>SUM(AE105:AJ105)</f>
        <v>0</v>
      </c>
      <c r="AL105" s="546"/>
      <c r="AM105" s="468" t="str">
        <f t="shared" si="39"/>
        <v/>
      </c>
      <c r="AN105" s="469" t="str">
        <f t="shared" si="43"/>
        <v/>
      </c>
      <c r="AO105" s="463" t="s">
        <v>4454</v>
      </c>
      <c r="AP105" s="463"/>
      <c r="AR105" s="71">
        <f>U106+AB105</f>
        <v>0</v>
      </c>
      <c r="AS105" s="64"/>
      <c r="AT105" s="65"/>
      <c r="AU105" s="66"/>
      <c r="AV105" s="67" t="e">
        <f>#REF!-#REF!</f>
        <v>#REF!</v>
      </c>
    </row>
    <row r="106" spans="1:48" s="470" customFormat="1" ht="25.5" customHeight="1" outlineLevel="2">
      <c r="A106" s="463" t="s">
        <v>4454</v>
      </c>
      <c r="B106" s="607" t="s">
        <v>4459</v>
      </c>
      <c r="C106" s="472">
        <v>23</v>
      </c>
      <c r="D106" s="463" t="s">
        <v>4454</v>
      </c>
      <c r="E106" s="473" t="s">
        <v>4541</v>
      </c>
      <c r="F106" s="616" t="s">
        <v>4545</v>
      </c>
      <c r="G106" s="475"/>
      <c r="H106" s="486" t="s">
        <v>5518</v>
      </c>
      <c r="I106" s="476"/>
      <c r="J106" s="477"/>
      <c r="K106" s="437"/>
      <c r="L106" s="487"/>
      <c r="M106" s="464" t="s">
        <v>13</v>
      </c>
      <c r="N106" s="488"/>
      <c r="O106" s="280">
        <v>0</v>
      </c>
      <c r="P106" s="465"/>
      <c r="Q106" s="263">
        <f>R106+S106</f>
        <v>0</v>
      </c>
      <c r="R106" s="278"/>
      <c r="S106" s="279"/>
      <c r="T106" s="466"/>
      <c r="U106" s="617">
        <v>0</v>
      </c>
      <c r="V106" s="61"/>
      <c r="W106" s="68"/>
      <c r="X106" s="79"/>
      <c r="Y106" s="175"/>
      <c r="Z106" s="70"/>
      <c r="AA106" s="71">
        <f>Q106+AB106-AJ106</f>
        <v>0</v>
      </c>
      <c r="AB106" s="166"/>
      <c r="AC106" s="281"/>
      <c r="AD106" s="545">
        <f>SUM(AE106:AJ106)</f>
        <v>0</v>
      </c>
      <c r="AE106" s="62"/>
      <c r="AF106" s="73"/>
      <c r="AG106" s="73"/>
      <c r="AH106" s="73"/>
      <c r="AI106" s="74"/>
      <c r="AJ106" s="75"/>
      <c r="AK106" s="467">
        <f>SUM(AE106:AJ106)</f>
        <v>0</v>
      </c>
      <c r="AL106" s="546" t="s">
        <v>4546</v>
      </c>
      <c r="AM106" s="468" t="str">
        <f t="shared" si="39"/>
        <v/>
      </c>
      <c r="AN106" s="469" t="str">
        <f t="shared" si="43"/>
        <v/>
      </c>
      <c r="AO106" s="463" t="s">
        <v>4454</v>
      </c>
      <c r="AP106" s="463"/>
      <c r="AR106" s="71"/>
      <c r="AS106" s="64"/>
      <c r="AT106" s="65"/>
      <c r="AU106" s="66"/>
      <c r="AV106" s="67" t="e">
        <f>#REF!-#REF!</f>
        <v>#REF!</v>
      </c>
    </row>
    <row r="107" spans="1:48" s="470" customFormat="1" ht="25.5" customHeight="1" outlineLevel="2">
      <c r="A107" s="463" t="s">
        <v>4454</v>
      </c>
      <c r="B107" s="485"/>
      <c r="C107" s="472" t="s">
        <v>4509</v>
      </c>
      <c r="D107" s="463" t="s">
        <v>4454</v>
      </c>
      <c r="E107" s="473"/>
      <c r="F107" s="474" t="s">
        <v>4545</v>
      </c>
      <c r="G107" s="475"/>
      <c r="H107" s="486"/>
      <c r="I107" s="476"/>
      <c r="J107" s="477"/>
      <c r="K107" s="437"/>
      <c r="L107" s="487"/>
      <c r="M107" s="464" t="s">
        <v>13</v>
      </c>
      <c r="N107" s="488"/>
      <c r="O107" s="280">
        <v>0</v>
      </c>
      <c r="P107" s="465"/>
      <c r="Q107" s="263">
        <f>R107+S107</f>
        <v>0</v>
      </c>
      <c r="R107" s="278"/>
      <c r="S107" s="279"/>
      <c r="T107" s="466"/>
      <c r="U107" s="618">
        <v>0</v>
      </c>
      <c r="V107" s="61"/>
      <c r="W107" s="68"/>
      <c r="X107" s="79"/>
      <c r="Y107" s="70"/>
      <c r="Z107" s="70"/>
      <c r="AA107" s="63">
        <f>Q107+AB107-AJ107</f>
        <v>0</v>
      </c>
      <c r="AB107" s="72"/>
      <c r="AC107" s="267"/>
      <c r="AD107" s="545">
        <f>SUM(AE107:AJ107)-AJ107</f>
        <v>0</v>
      </c>
      <c r="AE107" s="62"/>
      <c r="AF107" s="73"/>
      <c r="AG107" s="73"/>
      <c r="AH107" s="73"/>
      <c r="AI107" s="74"/>
      <c r="AJ107" s="75"/>
      <c r="AK107" s="467"/>
      <c r="AL107" s="546"/>
      <c r="AM107" s="468" t="str">
        <f t="shared" si="39"/>
        <v/>
      </c>
      <c r="AN107" s="469" t="str">
        <f t="shared" si="43"/>
        <v/>
      </c>
      <c r="AO107" s="463" t="s">
        <v>4454</v>
      </c>
      <c r="AP107" s="463"/>
      <c r="AR107" s="63"/>
      <c r="AS107" s="64"/>
      <c r="AT107" s="65"/>
      <c r="AU107" s="66"/>
      <c r="AV107" s="67" t="e">
        <f>#REF!-#REF!</f>
        <v>#REF!</v>
      </c>
    </row>
    <row r="108" spans="1:48" s="470" customFormat="1" ht="25.5" customHeight="1" outlineLevel="2">
      <c r="A108" s="463" t="s">
        <v>4454</v>
      </c>
      <c r="B108" s="485"/>
      <c r="C108" s="472" t="s">
        <v>4509</v>
      </c>
      <c r="D108" s="463" t="s">
        <v>4454</v>
      </c>
      <c r="E108" s="473"/>
      <c r="F108" s="474" t="s">
        <v>4545</v>
      </c>
      <c r="G108" s="475"/>
      <c r="H108" s="486"/>
      <c r="I108" s="476"/>
      <c r="J108" s="477"/>
      <c r="K108" s="437"/>
      <c r="L108" s="487"/>
      <c r="M108" s="464" t="s">
        <v>13</v>
      </c>
      <c r="N108" s="488"/>
      <c r="O108" s="280">
        <v>0</v>
      </c>
      <c r="P108" s="465"/>
      <c r="Q108" s="263">
        <f>R108+S108</f>
        <v>0</v>
      </c>
      <c r="R108" s="278"/>
      <c r="S108" s="279"/>
      <c r="T108" s="466"/>
      <c r="U108" s="618">
        <v>0</v>
      </c>
      <c r="V108" s="61"/>
      <c r="W108" s="68"/>
      <c r="X108" s="79"/>
      <c r="Y108" s="70"/>
      <c r="Z108" s="70"/>
      <c r="AA108" s="63">
        <f>Q108+AB108-AJ108</f>
        <v>0</v>
      </c>
      <c r="AB108" s="72"/>
      <c r="AC108" s="267"/>
      <c r="AD108" s="545">
        <f>SUM(AE108:AJ108)-AJ108</f>
        <v>0</v>
      </c>
      <c r="AE108" s="62"/>
      <c r="AF108" s="73"/>
      <c r="AG108" s="73"/>
      <c r="AH108" s="73"/>
      <c r="AI108" s="74"/>
      <c r="AJ108" s="75"/>
      <c r="AK108" s="467"/>
      <c r="AL108" s="546"/>
      <c r="AM108" s="468" t="str">
        <f t="shared" si="39"/>
        <v/>
      </c>
      <c r="AN108" s="469" t="str">
        <f t="shared" si="43"/>
        <v/>
      </c>
      <c r="AO108" s="463" t="s">
        <v>4454</v>
      </c>
      <c r="AP108" s="463"/>
      <c r="AR108" s="63"/>
      <c r="AS108" s="64"/>
      <c r="AT108" s="65"/>
      <c r="AU108" s="66"/>
      <c r="AV108" s="67" t="e">
        <f>#REF!-#REF!</f>
        <v>#REF!</v>
      </c>
    </row>
    <row r="109" spans="1:48" s="470" customFormat="1" ht="25.5" customHeight="1" outlineLevel="2" thickBot="1">
      <c r="A109" s="463">
        <v>1722</v>
      </c>
      <c r="B109" s="608" t="s">
        <v>4500</v>
      </c>
      <c r="C109" s="472">
        <v>23</v>
      </c>
      <c r="D109" s="463">
        <v>1722</v>
      </c>
      <c r="E109" s="473" t="s">
        <v>4512</v>
      </c>
      <c r="F109" s="474" t="s">
        <v>4545</v>
      </c>
      <c r="G109" s="475"/>
      <c r="H109" s="486" t="s">
        <v>5519</v>
      </c>
      <c r="I109" s="476">
        <v>17</v>
      </c>
      <c r="J109" s="477" t="s">
        <v>4508</v>
      </c>
      <c r="K109" s="437"/>
      <c r="L109" s="487"/>
      <c r="M109" s="464" t="s">
        <v>13</v>
      </c>
      <c r="N109" s="488"/>
      <c r="O109" s="280">
        <v>0</v>
      </c>
      <c r="P109" s="465"/>
      <c r="Q109" s="263">
        <f>R109+S109</f>
        <v>0</v>
      </c>
      <c r="R109" s="278"/>
      <c r="S109" s="279"/>
      <c r="T109" s="466"/>
      <c r="U109" s="619">
        <v>0</v>
      </c>
      <c r="V109" s="61"/>
      <c r="W109" s="68"/>
      <c r="X109" s="79">
        <v>43200</v>
      </c>
      <c r="Y109" s="175"/>
      <c r="Z109" s="70"/>
      <c r="AA109" s="71">
        <f>Q109+AB109-AJ109</f>
        <v>0</v>
      </c>
      <c r="AB109" s="72">
        <f>SUM(AE109:AI109)</f>
        <v>0</v>
      </c>
      <c r="AC109" s="267"/>
      <c r="AD109" s="545">
        <f>SUM(AE109:AJ109)-AJ109</f>
        <v>0</v>
      </c>
      <c r="AE109" s="62"/>
      <c r="AF109" s="73"/>
      <c r="AG109" s="73"/>
      <c r="AH109" s="73"/>
      <c r="AI109" s="74"/>
      <c r="AJ109" s="75"/>
      <c r="AK109" s="467"/>
      <c r="AL109" s="546"/>
      <c r="AM109" s="468" t="str">
        <f t="shared" si="39"/>
        <v>1722</v>
      </c>
      <c r="AN109" s="469" t="str">
        <f t="shared" si="43"/>
        <v>1722</v>
      </c>
      <c r="AO109" s="463">
        <v>1722</v>
      </c>
      <c r="AP109" s="463"/>
      <c r="AR109" s="71">
        <f>U110+AB109</f>
        <v>0</v>
      </c>
      <c r="AS109" s="64"/>
      <c r="AT109" s="65"/>
      <c r="AU109" s="66"/>
      <c r="AV109" s="67" t="e">
        <f>#REF!-#REF!</f>
        <v>#REF!</v>
      </c>
    </row>
    <row r="110" spans="1:48" ht="25.5" customHeight="1" outlineLevel="1" thickBot="1">
      <c r="A110" s="291" t="s">
        <v>4454</v>
      </c>
      <c r="B110" s="507"/>
      <c r="C110" s="508">
        <v>23</v>
      </c>
      <c r="D110" s="291" t="s">
        <v>4454</v>
      </c>
      <c r="E110" s="509"/>
      <c r="F110" s="510" t="s">
        <v>5211</v>
      </c>
      <c r="G110" s="511"/>
      <c r="H110" s="512"/>
      <c r="I110" s="513"/>
      <c r="J110" s="514"/>
      <c r="K110" s="515"/>
      <c r="L110" s="516"/>
      <c r="M110" s="517"/>
      <c r="N110" s="518"/>
      <c r="O110" s="519">
        <v>0</v>
      </c>
      <c r="P110" s="520"/>
      <c r="Q110" s="521">
        <f>SUBTOTAL(9,Q105:Q109)</f>
        <v>0</v>
      </c>
      <c r="R110" s="522">
        <f>SUBTOTAL(9,R105:R109)</f>
        <v>0</v>
      </c>
      <c r="S110" s="523">
        <f>SUBTOTAL(9,S105:S109)</f>
        <v>0</v>
      </c>
      <c r="T110" s="524"/>
      <c r="U110" s="620">
        <v>0</v>
      </c>
      <c r="V110" s="94"/>
      <c r="W110" s="95"/>
      <c r="X110" s="96"/>
      <c r="Y110" s="97"/>
      <c r="Z110" s="97"/>
      <c r="AA110" s="137">
        <f t="shared" ref="AA110:AK110" si="46">SUBTOTAL(9,AA105:AA109)</f>
        <v>0</v>
      </c>
      <c r="AB110" s="99">
        <f>SUBTOTAL(9,AB105:AB109)</f>
        <v>0</v>
      </c>
      <c r="AC110" s="273"/>
      <c r="AD110" s="526">
        <f>SUM(AE110:AJ110)</f>
        <v>0</v>
      </c>
      <c r="AE110" s="100">
        <f t="shared" si="46"/>
        <v>0</v>
      </c>
      <c r="AF110" s="101">
        <f t="shared" si="46"/>
        <v>0</v>
      </c>
      <c r="AG110" s="101">
        <f t="shared" si="46"/>
        <v>0</v>
      </c>
      <c r="AH110" s="101">
        <f t="shared" si="46"/>
        <v>0</v>
      </c>
      <c r="AI110" s="102">
        <f t="shared" si="46"/>
        <v>0</v>
      </c>
      <c r="AJ110" s="103">
        <f t="shared" si="46"/>
        <v>0</v>
      </c>
      <c r="AK110" s="527">
        <f t="shared" si="46"/>
        <v>0</v>
      </c>
      <c r="AL110" s="609">
        <f>Q96+Q104+Q110</f>
        <v>18710000</v>
      </c>
      <c r="AM110" s="308" t="str">
        <f t="shared" si="39"/>
        <v/>
      </c>
      <c r="AN110" s="369" t="str">
        <f t="shared" si="43"/>
        <v/>
      </c>
      <c r="AO110" s="291" t="s">
        <v>4454</v>
      </c>
      <c r="AR110" s="137">
        <f>SUBTOTAL(9,AR105:AR109)</f>
        <v>0</v>
      </c>
      <c r="AS110" s="107"/>
      <c r="AT110" s="108">
        <f>SUBTOTAL(9,AT105:AT109)</f>
        <v>0</v>
      </c>
      <c r="AU110" s="109"/>
      <c r="AV110" s="110" t="e">
        <f>SUBTOTAL(9,AV105:AV109)</f>
        <v>#REF!</v>
      </c>
    </row>
    <row r="111" spans="1:48" ht="25.5" customHeight="1" outlineLevel="2">
      <c r="A111" s="291">
        <v>2131</v>
      </c>
      <c r="B111" s="337" t="s">
        <v>4459</v>
      </c>
      <c r="C111" s="551">
        <v>31</v>
      </c>
      <c r="D111" s="291">
        <v>2131</v>
      </c>
      <c r="E111" s="339" t="s">
        <v>4460</v>
      </c>
      <c r="F111" s="340" t="s">
        <v>5212</v>
      </c>
      <c r="G111" s="341"/>
      <c r="H111" s="342" t="s">
        <v>5520</v>
      </c>
      <c r="I111" s="343">
        <v>21</v>
      </c>
      <c r="J111" s="344" t="s">
        <v>4522</v>
      </c>
      <c r="K111" s="537"/>
      <c r="L111" s="346">
        <v>44232</v>
      </c>
      <c r="M111" s="554" t="s">
        <v>13</v>
      </c>
      <c r="N111" s="438">
        <v>44261</v>
      </c>
      <c r="O111" s="349">
        <v>300000</v>
      </c>
      <c r="P111" s="555">
        <v>300000</v>
      </c>
      <c r="Q111" s="351">
        <f t="shared" ref="Q111:Q117" si="47">R111+S111</f>
        <v>300000</v>
      </c>
      <c r="R111" s="352">
        <v>300000</v>
      </c>
      <c r="S111" s="353"/>
      <c r="T111" s="556">
        <v>300000</v>
      </c>
      <c r="U111" s="355">
        <v>300000</v>
      </c>
      <c r="V111" s="206"/>
      <c r="W111" s="611"/>
      <c r="X111" s="621">
        <f>+N111+14</f>
        <v>44275</v>
      </c>
      <c r="Y111" s="557"/>
      <c r="Z111" s="557"/>
      <c r="AA111" s="198">
        <f t="shared" ref="AA111:AA117" si="48">Q111+AB111-AJ111</f>
        <v>620000</v>
      </c>
      <c r="AB111" s="48">
        <f>SUM(AE111:AI111)+AJ111</f>
        <v>320000</v>
      </c>
      <c r="AC111" s="265"/>
      <c r="AD111" s="362">
        <f t="shared" ref="AD111:AD117" si="49">SUM(AE111:AJ111)-AJ111</f>
        <v>320000</v>
      </c>
      <c r="AE111" s="202">
        <v>320000</v>
      </c>
      <c r="AF111" s="203"/>
      <c r="AG111" s="203"/>
      <c r="AH111" s="203"/>
      <c r="AI111" s="204"/>
      <c r="AJ111" s="143">
        <f>+S111</f>
        <v>0</v>
      </c>
      <c r="AK111" s="558"/>
      <c r="AL111" s="368"/>
      <c r="AM111" s="308" t="str">
        <f t="shared" si="39"/>
        <v>2131</v>
      </c>
      <c r="AN111" s="369" t="str">
        <f t="shared" si="43"/>
        <v>2131</v>
      </c>
      <c r="AO111" s="291">
        <v>2131</v>
      </c>
      <c r="AR111" s="47">
        <f>U112+AB111</f>
        <v>3720000</v>
      </c>
      <c r="AS111" s="54"/>
      <c r="AT111" s="55"/>
      <c r="AU111" s="56"/>
      <c r="AV111" s="57" t="e">
        <f>#REF!-#REF!</f>
        <v>#REF!</v>
      </c>
    </row>
    <row r="112" spans="1:48" ht="25.5" customHeight="1" outlineLevel="2">
      <c r="A112" s="291">
        <v>2132</v>
      </c>
      <c r="B112" s="482" t="s">
        <v>4459</v>
      </c>
      <c r="C112" s="458">
        <v>31</v>
      </c>
      <c r="D112" s="291">
        <v>2132</v>
      </c>
      <c r="E112" s="407" t="s">
        <v>4460</v>
      </c>
      <c r="F112" s="428" t="s">
        <v>5212</v>
      </c>
      <c r="G112" s="409"/>
      <c r="H112" s="410" t="s">
        <v>5521</v>
      </c>
      <c r="I112" s="411">
        <v>21</v>
      </c>
      <c r="J112" s="459" t="s">
        <v>4523</v>
      </c>
      <c r="K112" s="460">
        <v>9</v>
      </c>
      <c r="L112" s="413"/>
      <c r="M112" s="464" t="s">
        <v>13</v>
      </c>
      <c r="N112" s="415"/>
      <c r="O112" s="280">
        <v>3400000</v>
      </c>
      <c r="P112" s="465">
        <v>3400000</v>
      </c>
      <c r="Q112" s="263">
        <f t="shared" si="47"/>
        <v>3400000</v>
      </c>
      <c r="R112" s="284">
        <v>400000</v>
      </c>
      <c r="S112" s="59">
        <v>3000000</v>
      </c>
      <c r="T112" s="466">
        <v>3400000</v>
      </c>
      <c r="U112" s="418">
        <v>3400000</v>
      </c>
      <c r="V112" s="43"/>
      <c r="W112" s="44"/>
      <c r="X112" s="58" t="s">
        <v>4506</v>
      </c>
      <c r="Y112" s="46"/>
      <c r="Z112" s="46"/>
      <c r="AA112" s="47">
        <f t="shared" si="48"/>
        <v>5560000</v>
      </c>
      <c r="AB112" s="48">
        <f>SUM(AE112:AI112)+AJ112</f>
        <v>5160000</v>
      </c>
      <c r="AC112" s="265"/>
      <c r="AD112" s="424">
        <f t="shared" si="49"/>
        <v>2160000</v>
      </c>
      <c r="AE112" s="49">
        <v>2160000</v>
      </c>
      <c r="AF112" s="50"/>
      <c r="AG112" s="50"/>
      <c r="AH112" s="50"/>
      <c r="AI112" s="51"/>
      <c r="AJ112" s="52">
        <f>+S112</f>
        <v>3000000</v>
      </c>
      <c r="AK112" s="462">
        <v>320000</v>
      </c>
      <c r="AL112" s="396" t="s">
        <v>5456</v>
      </c>
      <c r="AM112" s="308" t="str">
        <f t="shared" ref="AM112:AM143" si="50">I112&amp;J112</f>
        <v>2132</v>
      </c>
      <c r="AN112" s="369" t="str">
        <f t="shared" si="43"/>
        <v>2132</v>
      </c>
      <c r="AO112" s="291">
        <v>2132</v>
      </c>
      <c r="AR112" s="47">
        <f>U113+AB112</f>
        <v>5660000</v>
      </c>
      <c r="AS112" s="54"/>
      <c r="AT112" s="55"/>
      <c r="AU112" s="56"/>
      <c r="AV112" s="57" t="e">
        <f>#REF!-#REF!</f>
        <v>#REF!</v>
      </c>
    </row>
    <row r="113" spans="1:48" ht="25.5" customHeight="1" outlineLevel="2">
      <c r="A113" s="291">
        <v>2133</v>
      </c>
      <c r="B113" s="482" t="s">
        <v>4459</v>
      </c>
      <c r="C113" s="458">
        <v>31</v>
      </c>
      <c r="D113" s="291">
        <v>2133</v>
      </c>
      <c r="E113" s="407" t="s">
        <v>4460</v>
      </c>
      <c r="F113" s="428" t="s">
        <v>5212</v>
      </c>
      <c r="G113" s="622"/>
      <c r="H113" s="410" t="s">
        <v>5522</v>
      </c>
      <c r="I113" s="411">
        <v>21</v>
      </c>
      <c r="J113" s="459" t="s">
        <v>4524</v>
      </c>
      <c r="K113" s="460">
        <v>10</v>
      </c>
      <c r="L113" s="413">
        <v>44451</v>
      </c>
      <c r="M113" s="464" t="s">
        <v>13</v>
      </c>
      <c r="N113" s="415">
        <v>44542</v>
      </c>
      <c r="O113" s="280">
        <v>500000</v>
      </c>
      <c r="P113" s="465">
        <v>500000</v>
      </c>
      <c r="Q113" s="263">
        <f t="shared" si="47"/>
        <v>500000</v>
      </c>
      <c r="R113" s="284">
        <v>100000</v>
      </c>
      <c r="S113" s="59">
        <v>400000</v>
      </c>
      <c r="T113" s="466">
        <v>500000</v>
      </c>
      <c r="U113" s="418">
        <v>500000</v>
      </c>
      <c r="V113" s="43"/>
      <c r="W113" s="44"/>
      <c r="X113" s="58" t="s">
        <v>4506</v>
      </c>
      <c r="Y113" s="46"/>
      <c r="Z113" s="46"/>
      <c r="AA113" s="47">
        <f t="shared" si="48"/>
        <v>590000</v>
      </c>
      <c r="AB113" s="48">
        <f>SUM(AE113:AI113)+AJ113</f>
        <v>490000</v>
      </c>
      <c r="AC113" s="265"/>
      <c r="AD113" s="424">
        <f t="shared" si="49"/>
        <v>90000</v>
      </c>
      <c r="AE113" s="49">
        <v>90000</v>
      </c>
      <c r="AF113" s="50"/>
      <c r="AG113" s="50"/>
      <c r="AH113" s="50"/>
      <c r="AI113" s="51"/>
      <c r="AJ113" s="52">
        <f>+S113</f>
        <v>400000</v>
      </c>
      <c r="AK113" s="462"/>
      <c r="AL113" s="396" t="s">
        <v>5516</v>
      </c>
      <c r="AM113" s="308" t="str">
        <f t="shared" si="50"/>
        <v>2133</v>
      </c>
      <c r="AN113" s="369" t="str">
        <f t="shared" si="43"/>
        <v>2133</v>
      </c>
      <c r="AO113" s="291">
        <v>2133</v>
      </c>
      <c r="AR113" s="47">
        <f>U114+AB113</f>
        <v>490000</v>
      </c>
      <c r="AS113" s="54"/>
      <c r="AT113" s="55"/>
      <c r="AU113" s="56"/>
      <c r="AV113" s="57" t="e">
        <f>#REF!-#REF!</f>
        <v>#REF!</v>
      </c>
    </row>
    <row r="114" spans="1:48" s="470" customFormat="1" ht="25.5" customHeight="1" outlineLevel="2">
      <c r="A114" s="463" t="s">
        <v>4454</v>
      </c>
      <c r="B114" s="485"/>
      <c r="C114" s="472" t="s">
        <v>4522</v>
      </c>
      <c r="D114" s="463" t="s">
        <v>4454</v>
      </c>
      <c r="E114" s="473"/>
      <c r="F114" s="474" t="s">
        <v>5212</v>
      </c>
      <c r="G114" s="475"/>
      <c r="H114" s="486"/>
      <c r="I114" s="476"/>
      <c r="J114" s="477"/>
      <c r="K114" s="437"/>
      <c r="L114" s="487"/>
      <c r="M114" s="464" t="s">
        <v>13</v>
      </c>
      <c r="N114" s="488"/>
      <c r="O114" s="280">
        <v>0</v>
      </c>
      <c r="P114" s="465"/>
      <c r="Q114" s="263">
        <f t="shared" si="47"/>
        <v>0</v>
      </c>
      <c r="R114" s="278"/>
      <c r="S114" s="279"/>
      <c r="T114" s="466"/>
      <c r="U114" s="418">
        <v>0</v>
      </c>
      <c r="V114" s="61"/>
      <c r="W114" s="68"/>
      <c r="X114" s="79"/>
      <c r="Y114" s="70"/>
      <c r="Z114" s="70"/>
      <c r="AA114" s="63">
        <f t="shared" si="48"/>
        <v>0</v>
      </c>
      <c r="AB114" s="72"/>
      <c r="AC114" s="267"/>
      <c r="AD114" s="545">
        <f t="shared" si="49"/>
        <v>0</v>
      </c>
      <c r="AE114" s="62"/>
      <c r="AF114" s="73"/>
      <c r="AG114" s="73"/>
      <c r="AH114" s="73"/>
      <c r="AI114" s="74"/>
      <c r="AJ114" s="75"/>
      <c r="AK114" s="467"/>
      <c r="AL114" s="546"/>
      <c r="AM114" s="468" t="str">
        <f t="shared" si="50"/>
        <v/>
      </c>
      <c r="AN114" s="469" t="str">
        <f t="shared" si="43"/>
        <v/>
      </c>
      <c r="AO114" s="463" t="s">
        <v>4454</v>
      </c>
      <c r="AP114" s="463"/>
      <c r="AR114" s="63"/>
      <c r="AS114" s="64"/>
      <c r="AT114" s="65"/>
      <c r="AU114" s="66"/>
      <c r="AV114" s="67" t="e">
        <f>#REF!-#REF!</f>
        <v>#REF!</v>
      </c>
    </row>
    <row r="115" spans="1:48" s="470" customFormat="1" ht="25.5" customHeight="1" outlineLevel="2">
      <c r="A115" s="463" t="s">
        <v>4454</v>
      </c>
      <c r="B115" s="485"/>
      <c r="C115" s="472" t="s">
        <v>4522</v>
      </c>
      <c r="D115" s="463" t="s">
        <v>4454</v>
      </c>
      <c r="E115" s="473"/>
      <c r="F115" s="474" t="s">
        <v>5212</v>
      </c>
      <c r="G115" s="475"/>
      <c r="H115" s="486"/>
      <c r="I115" s="476"/>
      <c r="J115" s="477"/>
      <c r="K115" s="437"/>
      <c r="L115" s="487"/>
      <c r="M115" s="464" t="s">
        <v>13</v>
      </c>
      <c r="N115" s="488"/>
      <c r="O115" s="280">
        <v>0</v>
      </c>
      <c r="P115" s="465"/>
      <c r="Q115" s="263">
        <f t="shared" si="47"/>
        <v>0</v>
      </c>
      <c r="R115" s="278"/>
      <c r="S115" s="279"/>
      <c r="T115" s="466"/>
      <c r="U115" s="418">
        <v>0</v>
      </c>
      <c r="V115" s="61"/>
      <c r="W115" s="68"/>
      <c r="X115" s="79"/>
      <c r="Y115" s="70"/>
      <c r="Z115" s="70"/>
      <c r="AA115" s="63">
        <f t="shared" si="48"/>
        <v>0</v>
      </c>
      <c r="AB115" s="72"/>
      <c r="AC115" s="267"/>
      <c r="AD115" s="545">
        <f t="shared" si="49"/>
        <v>0</v>
      </c>
      <c r="AE115" s="62"/>
      <c r="AF115" s="73"/>
      <c r="AG115" s="73"/>
      <c r="AH115" s="73"/>
      <c r="AI115" s="74"/>
      <c r="AJ115" s="75"/>
      <c r="AK115" s="467"/>
      <c r="AL115" s="546"/>
      <c r="AM115" s="468" t="str">
        <f t="shared" si="50"/>
        <v/>
      </c>
      <c r="AN115" s="469" t="str">
        <f t="shared" si="43"/>
        <v/>
      </c>
      <c r="AO115" s="463" t="s">
        <v>4454</v>
      </c>
      <c r="AP115" s="463"/>
      <c r="AR115" s="63"/>
      <c r="AS115" s="64"/>
      <c r="AT115" s="65"/>
      <c r="AU115" s="66"/>
      <c r="AV115" s="67" t="e">
        <f>#REF!-#REF!</f>
        <v>#REF!</v>
      </c>
    </row>
    <row r="116" spans="1:48" s="470" customFormat="1" ht="25.5" customHeight="1" outlineLevel="2">
      <c r="A116" s="463" t="s">
        <v>4454</v>
      </c>
      <c r="B116" s="607" t="s">
        <v>4459</v>
      </c>
      <c r="C116" s="472">
        <v>31</v>
      </c>
      <c r="D116" s="463" t="s">
        <v>4454</v>
      </c>
      <c r="E116" s="473" t="s">
        <v>4541</v>
      </c>
      <c r="F116" s="474" t="s">
        <v>5212</v>
      </c>
      <c r="G116" s="475"/>
      <c r="H116" s="486" t="s">
        <v>5523</v>
      </c>
      <c r="I116" s="476"/>
      <c r="J116" s="477"/>
      <c r="K116" s="437"/>
      <c r="L116" s="487"/>
      <c r="M116" s="464" t="s">
        <v>13</v>
      </c>
      <c r="N116" s="488"/>
      <c r="O116" s="280">
        <v>0</v>
      </c>
      <c r="P116" s="465"/>
      <c r="Q116" s="263">
        <f t="shared" si="47"/>
        <v>0</v>
      </c>
      <c r="R116" s="278"/>
      <c r="S116" s="279"/>
      <c r="T116" s="466"/>
      <c r="U116" s="418">
        <v>0</v>
      </c>
      <c r="V116" s="61"/>
      <c r="W116" s="68"/>
      <c r="X116" s="171"/>
      <c r="Y116" s="70"/>
      <c r="Z116" s="70"/>
      <c r="AA116" s="71">
        <f t="shared" si="48"/>
        <v>0</v>
      </c>
      <c r="AB116" s="166"/>
      <c r="AC116" s="281"/>
      <c r="AD116" s="545">
        <f t="shared" si="49"/>
        <v>0</v>
      </c>
      <c r="AE116" s="62"/>
      <c r="AF116" s="73"/>
      <c r="AG116" s="73"/>
      <c r="AH116" s="73"/>
      <c r="AI116" s="74"/>
      <c r="AJ116" s="75"/>
      <c r="AK116" s="467"/>
      <c r="AL116" s="546" t="s">
        <v>4536</v>
      </c>
      <c r="AM116" s="468" t="str">
        <f t="shared" si="50"/>
        <v/>
      </c>
      <c r="AN116" s="469" t="str">
        <f t="shared" si="43"/>
        <v/>
      </c>
      <c r="AO116" s="463" t="s">
        <v>4454</v>
      </c>
      <c r="AP116" s="463"/>
      <c r="AR116" s="71">
        <f>U117+AB116</f>
        <v>50000</v>
      </c>
      <c r="AS116" s="64"/>
      <c r="AT116" s="65"/>
      <c r="AU116" s="66"/>
      <c r="AV116" s="67" t="e">
        <f>#REF!-#REF!</f>
        <v>#REF!</v>
      </c>
    </row>
    <row r="117" spans="1:48" customFormat="1" ht="25.5" customHeight="1" outlineLevel="2" thickBot="1">
      <c r="A117" s="542">
        <v>1531</v>
      </c>
      <c r="B117" s="482" t="s">
        <v>4459</v>
      </c>
      <c r="C117" s="458">
        <v>31</v>
      </c>
      <c r="D117" s="542">
        <v>1531</v>
      </c>
      <c r="E117" s="407" t="s">
        <v>4553</v>
      </c>
      <c r="F117" s="428" t="s">
        <v>5212</v>
      </c>
      <c r="G117" s="409"/>
      <c r="H117" s="429" t="s">
        <v>5524</v>
      </c>
      <c r="I117" s="411">
        <v>15</v>
      </c>
      <c r="J117" s="459" t="s">
        <v>4522</v>
      </c>
      <c r="K117" s="560"/>
      <c r="L117" s="413"/>
      <c r="M117" s="464" t="s">
        <v>13</v>
      </c>
      <c r="N117" s="415"/>
      <c r="O117" s="280">
        <v>50000</v>
      </c>
      <c r="P117" s="465">
        <v>50000</v>
      </c>
      <c r="Q117" s="263">
        <f t="shared" si="47"/>
        <v>50000</v>
      </c>
      <c r="R117" s="284">
        <v>50000</v>
      </c>
      <c r="S117" s="285"/>
      <c r="T117" s="466">
        <v>50000</v>
      </c>
      <c r="U117" s="418">
        <v>50000</v>
      </c>
      <c r="V117" s="43"/>
      <c r="W117" s="44"/>
      <c r="X117" s="45">
        <v>43200</v>
      </c>
      <c r="Y117" s="46"/>
      <c r="Z117" s="46"/>
      <c r="AA117" s="168">
        <f t="shared" si="48"/>
        <v>50000</v>
      </c>
      <c r="AB117" s="142">
        <f>SUM(AE117:AI117)+AJ117</f>
        <v>0</v>
      </c>
      <c r="AC117" s="562"/>
      <c r="AD117" s="424">
        <f t="shared" si="49"/>
        <v>0</v>
      </c>
      <c r="AE117" s="49"/>
      <c r="AF117" s="50"/>
      <c r="AG117" s="50"/>
      <c r="AH117" s="50"/>
      <c r="AI117" s="51"/>
      <c r="AJ117" s="52"/>
      <c r="AK117" s="462"/>
      <c r="AL117" s="442"/>
      <c r="AM117" s="308" t="str">
        <f t="shared" si="50"/>
        <v>1531</v>
      </c>
      <c r="AN117" s="369" t="str">
        <f t="shared" si="43"/>
        <v>1531</v>
      </c>
      <c r="AO117" s="542">
        <v>1531</v>
      </c>
      <c r="AP117" s="542"/>
      <c r="AR117" s="168">
        <f>U118</f>
        <v>4250000</v>
      </c>
      <c r="AS117" s="54"/>
      <c r="AT117" s="55"/>
      <c r="AU117" s="41"/>
      <c r="AV117" s="57" t="e">
        <f>#REF!-#REF!</f>
        <v>#REF!</v>
      </c>
    </row>
    <row r="118" spans="1:48" ht="25.5" customHeight="1" outlineLevel="1" thickBot="1">
      <c r="A118" s="291" t="s">
        <v>4454</v>
      </c>
      <c r="B118" s="507"/>
      <c r="C118" s="508">
        <v>31</v>
      </c>
      <c r="D118" s="291" t="s">
        <v>4454</v>
      </c>
      <c r="E118" s="509"/>
      <c r="F118" s="510" t="s">
        <v>5213</v>
      </c>
      <c r="G118" s="511"/>
      <c r="H118" s="512"/>
      <c r="I118" s="513"/>
      <c r="J118" s="514"/>
      <c r="K118" s="515"/>
      <c r="L118" s="516"/>
      <c r="M118" s="517"/>
      <c r="N118" s="518"/>
      <c r="O118" s="519">
        <v>4250000</v>
      </c>
      <c r="P118" s="520">
        <f>SUM(P111:P117)</f>
        <v>4250000</v>
      </c>
      <c r="Q118" s="521">
        <f>SUBTOTAL(9,Q111:Q117)</f>
        <v>4250000</v>
      </c>
      <c r="R118" s="522">
        <f>SUBTOTAL(9,R111:R117)</f>
        <v>850000</v>
      </c>
      <c r="S118" s="523">
        <f>SUBTOTAL(9,S111:S117)</f>
        <v>3400000</v>
      </c>
      <c r="T118" s="524">
        <v>4250000</v>
      </c>
      <c r="U118" s="549">
        <v>4250000</v>
      </c>
      <c r="V118" s="94"/>
      <c r="W118" s="95"/>
      <c r="X118" s="96"/>
      <c r="Y118" s="97"/>
      <c r="Z118" s="97"/>
      <c r="AA118" s="98">
        <f>SUBTOTAL(9,AA111:AA117)</f>
        <v>6820000</v>
      </c>
      <c r="AB118" s="176">
        <f>SUBTOTAL(9,AB111:AB117)</f>
        <v>5970000</v>
      </c>
      <c r="AC118" s="273"/>
      <c r="AD118" s="526">
        <f>SUM(AE118:AJ118)</f>
        <v>5970000</v>
      </c>
      <c r="AE118" s="100">
        <f t="shared" ref="AE118:AK118" si="51">SUBTOTAL(9,AE111:AE117)</f>
        <v>2570000</v>
      </c>
      <c r="AF118" s="101">
        <f t="shared" si="51"/>
        <v>0</v>
      </c>
      <c r="AG118" s="101">
        <f t="shared" si="51"/>
        <v>0</v>
      </c>
      <c r="AH118" s="101">
        <f t="shared" si="51"/>
        <v>0</v>
      </c>
      <c r="AI118" s="102">
        <f t="shared" si="51"/>
        <v>0</v>
      </c>
      <c r="AJ118" s="103">
        <f t="shared" si="51"/>
        <v>3400000</v>
      </c>
      <c r="AK118" s="527">
        <f t="shared" si="51"/>
        <v>320000</v>
      </c>
      <c r="AL118" s="563"/>
      <c r="AM118" s="308" t="str">
        <f t="shared" si="50"/>
        <v/>
      </c>
      <c r="AN118" s="369" t="str">
        <f t="shared" si="43"/>
        <v/>
      </c>
      <c r="AO118" s="291" t="s">
        <v>4454</v>
      </c>
      <c r="AR118" s="137">
        <f>SUBTOTAL(9,AR111:AR117)</f>
        <v>14170000</v>
      </c>
      <c r="AS118" s="107"/>
      <c r="AT118" s="108">
        <f>SUBTOTAL(9,AT111:AT117)</f>
        <v>0</v>
      </c>
      <c r="AU118" s="109"/>
      <c r="AV118" s="110" t="e">
        <f>SUBTOTAL(9,AV111:AV117)</f>
        <v>#REF!</v>
      </c>
    </row>
    <row r="119" spans="1:48" ht="25.5" customHeight="1" outlineLevel="2">
      <c r="A119" s="291">
        <v>2134</v>
      </c>
      <c r="B119" s="482" t="s">
        <v>4459</v>
      </c>
      <c r="C119" s="458">
        <v>32</v>
      </c>
      <c r="D119" s="291">
        <v>2134</v>
      </c>
      <c r="E119" s="407" t="s">
        <v>4460</v>
      </c>
      <c r="F119" s="428" t="s">
        <v>5525</v>
      </c>
      <c r="G119" s="409"/>
      <c r="H119" s="410" t="s">
        <v>5526</v>
      </c>
      <c r="I119" s="411">
        <v>21</v>
      </c>
      <c r="J119" s="459" t="s">
        <v>4548</v>
      </c>
      <c r="K119" s="460">
        <v>52</v>
      </c>
      <c r="L119" s="413">
        <v>44443</v>
      </c>
      <c r="M119" s="464" t="s">
        <v>13</v>
      </c>
      <c r="N119" s="415">
        <v>44557</v>
      </c>
      <c r="O119" s="280">
        <v>550000</v>
      </c>
      <c r="P119" s="465">
        <v>550000</v>
      </c>
      <c r="Q119" s="263">
        <f t="shared" ref="Q119:Q124" si="52">R119+S119</f>
        <v>550000</v>
      </c>
      <c r="R119" s="284">
        <v>150000</v>
      </c>
      <c r="S119" s="59">
        <v>400000</v>
      </c>
      <c r="T119" s="466">
        <v>550000</v>
      </c>
      <c r="U119" s="418">
        <v>550000</v>
      </c>
      <c r="V119" s="43"/>
      <c r="W119" s="44"/>
      <c r="X119" s="58" t="s">
        <v>4506</v>
      </c>
      <c r="Y119" s="46"/>
      <c r="Z119" s="46"/>
      <c r="AA119" s="47">
        <f t="shared" ref="AA119:AA124" si="53">Q119+AB119-AJ119</f>
        <v>550000</v>
      </c>
      <c r="AB119" s="48">
        <f>SUM(AE119:AI119)+AJ119</f>
        <v>400000</v>
      </c>
      <c r="AC119" s="265"/>
      <c r="AD119" s="424">
        <f t="shared" ref="AD119:AD124" si="54">SUM(AE119:AJ119)-AJ119</f>
        <v>0</v>
      </c>
      <c r="AE119" s="49"/>
      <c r="AF119" s="50"/>
      <c r="AG119" s="50"/>
      <c r="AH119" s="50"/>
      <c r="AI119" s="51"/>
      <c r="AJ119" s="52">
        <f>+S119</f>
        <v>400000</v>
      </c>
      <c r="AK119" s="462"/>
      <c r="AL119" s="396" t="s">
        <v>5456</v>
      </c>
      <c r="AM119" s="308" t="str">
        <f t="shared" si="50"/>
        <v>2134</v>
      </c>
      <c r="AN119" s="369" t="str">
        <f t="shared" si="43"/>
        <v>2134</v>
      </c>
      <c r="AO119" s="291">
        <v>2134</v>
      </c>
      <c r="AR119" s="47">
        <f>U120+AB119</f>
        <v>700000</v>
      </c>
      <c r="AS119" s="54"/>
      <c r="AT119" s="55"/>
      <c r="AU119" s="56"/>
      <c r="AV119" s="57" t="e">
        <f>#REF!-#REF!</f>
        <v>#REF!</v>
      </c>
    </row>
    <row r="120" spans="1:48" ht="25.5" customHeight="1" outlineLevel="2">
      <c r="A120" s="291">
        <v>2135</v>
      </c>
      <c r="B120" s="482" t="s">
        <v>4459</v>
      </c>
      <c r="C120" s="458">
        <v>32</v>
      </c>
      <c r="D120" s="291">
        <v>2135</v>
      </c>
      <c r="E120" s="407" t="s">
        <v>4460</v>
      </c>
      <c r="F120" s="428" t="s">
        <v>5525</v>
      </c>
      <c r="G120" s="409"/>
      <c r="H120" s="429" t="s">
        <v>5527</v>
      </c>
      <c r="I120" s="411">
        <v>21</v>
      </c>
      <c r="J120" s="459" t="s">
        <v>4528</v>
      </c>
      <c r="K120" s="437"/>
      <c r="L120" s="413">
        <v>44534</v>
      </c>
      <c r="M120" s="464" t="s">
        <v>13</v>
      </c>
      <c r="N120" s="415">
        <v>44226</v>
      </c>
      <c r="O120" s="280">
        <v>300000</v>
      </c>
      <c r="P120" s="465">
        <v>300000</v>
      </c>
      <c r="Q120" s="263">
        <f t="shared" si="52"/>
        <v>300000</v>
      </c>
      <c r="R120" s="284">
        <v>300000</v>
      </c>
      <c r="S120" s="285"/>
      <c r="T120" s="466">
        <v>300000</v>
      </c>
      <c r="U120" s="418">
        <v>300000</v>
      </c>
      <c r="V120" s="43"/>
      <c r="W120" s="44"/>
      <c r="X120" s="45">
        <f>+N120+14</f>
        <v>44240</v>
      </c>
      <c r="Y120" s="46"/>
      <c r="Z120" s="46"/>
      <c r="AA120" s="47">
        <f t="shared" si="53"/>
        <v>300000</v>
      </c>
      <c r="AB120" s="48">
        <f>SUM(AE120:AI120)+AJ120</f>
        <v>0</v>
      </c>
      <c r="AC120" s="265"/>
      <c r="AD120" s="424">
        <f t="shared" si="54"/>
        <v>0</v>
      </c>
      <c r="AE120" s="49"/>
      <c r="AF120" s="50"/>
      <c r="AG120" s="50"/>
      <c r="AH120" s="50"/>
      <c r="AI120" s="51"/>
      <c r="AJ120" s="52">
        <f>+S120</f>
        <v>0</v>
      </c>
      <c r="AK120" s="462"/>
      <c r="AL120" s="442"/>
      <c r="AM120" s="308" t="str">
        <f t="shared" si="50"/>
        <v>2135</v>
      </c>
      <c r="AN120" s="369" t="str">
        <f t="shared" si="43"/>
        <v>2135</v>
      </c>
      <c r="AO120" s="291">
        <v>2135</v>
      </c>
      <c r="AR120" s="47">
        <f>U121+AB120</f>
        <v>0</v>
      </c>
      <c r="AS120" s="54"/>
      <c r="AT120" s="55"/>
      <c r="AU120" s="56"/>
      <c r="AV120" s="57" t="e">
        <f>#REF!-#REF!</f>
        <v>#REF!</v>
      </c>
    </row>
    <row r="121" spans="1:48" s="470" customFormat="1" ht="25.5" customHeight="1" outlineLevel="2">
      <c r="A121" s="463" t="s">
        <v>4454</v>
      </c>
      <c r="B121" s="608" t="s">
        <v>4459</v>
      </c>
      <c r="C121" s="472">
        <v>32</v>
      </c>
      <c r="D121" s="463" t="s">
        <v>4454</v>
      </c>
      <c r="E121" s="473" t="s">
        <v>4543</v>
      </c>
      <c r="F121" s="474" t="s">
        <v>5525</v>
      </c>
      <c r="G121" s="475"/>
      <c r="H121" s="570" t="s">
        <v>5528</v>
      </c>
      <c r="I121" s="476"/>
      <c r="J121" s="477"/>
      <c r="K121" s="437"/>
      <c r="L121" s="487"/>
      <c r="M121" s="464" t="s">
        <v>13</v>
      </c>
      <c r="N121" s="488"/>
      <c r="O121" s="280">
        <v>0</v>
      </c>
      <c r="P121" s="465"/>
      <c r="Q121" s="263">
        <f t="shared" si="52"/>
        <v>0</v>
      </c>
      <c r="R121" s="278"/>
      <c r="S121" s="279"/>
      <c r="T121" s="466"/>
      <c r="U121" s="418">
        <v>0</v>
      </c>
      <c r="V121" s="61"/>
      <c r="W121" s="68"/>
      <c r="X121" s="171"/>
      <c r="Y121" s="70"/>
      <c r="Z121" s="70"/>
      <c r="AA121" s="71">
        <f t="shared" si="53"/>
        <v>0</v>
      </c>
      <c r="AB121" s="166"/>
      <c r="AC121" s="281"/>
      <c r="AD121" s="545">
        <f t="shared" si="54"/>
        <v>0</v>
      </c>
      <c r="AE121" s="62"/>
      <c r="AF121" s="73"/>
      <c r="AG121" s="73"/>
      <c r="AH121" s="73"/>
      <c r="AI121" s="74"/>
      <c r="AJ121" s="75"/>
      <c r="AK121" s="467"/>
      <c r="AL121" s="546" t="s">
        <v>4536</v>
      </c>
      <c r="AM121" s="468" t="str">
        <f t="shared" si="50"/>
        <v/>
      </c>
      <c r="AN121" s="469" t="str">
        <f t="shared" si="43"/>
        <v/>
      </c>
      <c r="AO121" s="463" t="s">
        <v>4454</v>
      </c>
      <c r="AP121" s="463"/>
      <c r="AR121" s="71"/>
      <c r="AS121" s="64"/>
      <c r="AT121" s="65"/>
      <c r="AU121" s="66"/>
      <c r="AV121" s="67" t="e">
        <f>#REF!-#REF!</f>
        <v>#REF!</v>
      </c>
    </row>
    <row r="122" spans="1:48" s="470" customFormat="1" ht="25.5" customHeight="1" outlineLevel="2">
      <c r="A122" s="463" t="s">
        <v>4454</v>
      </c>
      <c r="B122" s="485"/>
      <c r="C122" s="472" t="s">
        <v>4523</v>
      </c>
      <c r="D122" s="463" t="s">
        <v>4454</v>
      </c>
      <c r="E122" s="473"/>
      <c r="F122" s="474" t="s">
        <v>5525</v>
      </c>
      <c r="G122" s="475"/>
      <c r="H122" s="486"/>
      <c r="I122" s="476"/>
      <c r="J122" s="477"/>
      <c r="K122" s="437"/>
      <c r="L122" s="487"/>
      <c r="M122" s="464" t="s">
        <v>13</v>
      </c>
      <c r="N122" s="488"/>
      <c r="O122" s="280">
        <v>0</v>
      </c>
      <c r="P122" s="465"/>
      <c r="Q122" s="263">
        <f t="shared" si="52"/>
        <v>0</v>
      </c>
      <c r="R122" s="278"/>
      <c r="S122" s="279"/>
      <c r="T122" s="466"/>
      <c r="U122" s="418">
        <v>0</v>
      </c>
      <c r="V122" s="61"/>
      <c r="W122" s="68"/>
      <c r="X122" s="79"/>
      <c r="Y122" s="70"/>
      <c r="Z122" s="70"/>
      <c r="AA122" s="63">
        <f t="shared" si="53"/>
        <v>0</v>
      </c>
      <c r="AB122" s="72"/>
      <c r="AC122" s="267"/>
      <c r="AD122" s="545">
        <f t="shared" si="54"/>
        <v>0</v>
      </c>
      <c r="AE122" s="62"/>
      <c r="AF122" s="73"/>
      <c r="AG122" s="73"/>
      <c r="AH122" s="73"/>
      <c r="AI122" s="74"/>
      <c r="AJ122" s="75"/>
      <c r="AK122" s="467"/>
      <c r="AL122" s="546"/>
      <c r="AM122" s="468" t="str">
        <f t="shared" si="50"/>
        <v/>
      </c>
      <c r="AN122" s="469" t="str">
        <f t="shared" si="43"/>
        <v/>
      </c>
      <c r="AO122" s="463" t="s">
        <v>4454</v>
      </c>
      <c r="AP122" s="463"/>
      <c r="AR122" s="63"/>
      <c r="AS122" s="64"/>
      <c r="AT122" s="65"/>
      <c r="AU122" s="66"/>
      <c r="AV122" s="67" t="e">
        <f>#REF!-#REF!</f>
        <v>#REF!</v>
      </c>
    </row>
    <row r="123" spans="1:48" s="470" customFormat="1" ht="25.5" customHeight="1" outlineLevel="2">
      <c r="A123" s="463" t="s">
        <v>4454</v>
      </c>
      <c r="B123" s="485"/>
      <c r="C123" s="472" t="s">
        <v>4523</v>
      </c>
      <c r="D123" s="463" t="s">
        <v>4454</v>
      </c>
      <c r="E123" s="473"/>
      <c r="F123" s="474" t="s">
        <v>5525</v>
      </c>
      <c r="G123" s="475"/>
      <c r="H123" s="486"/>
      <c r="I123" s="476"/>
      <c r="J123" s="477"/>
      <c r="K123" s="437"/>
      <c r="L123" s="487"/>
      <c r="M123" s="464" t="s">
        <v>13</v>
      </c>
      <c r="N123" s="488"/>
      <c r="O123" s="280">
        <v>0</v>
      </c>
      <c r="P123" s="465"/>
      <c r="Q123" s="263">
        <f t="shared" si="52"/>
        <v>0</v>
      </c>
      <c r="R123" s="278"/>
      <c r="S123" s="279"/>
      <c r="T123" s="466"/>
      <c r="U123" s="418">
        <v>0</v>
      </c>
      <c r="V123" s="61"/>
      <c r="W123" s="68"/>
      <c r="X123" s="79"/>
      <c r="Y123" s="70"/>
      <c r="Z123" s="70"/>
      <c r="AA123" s="63">
        <f t="shared" si="53"/>
        <v>0</v>
      </c>
      <c r="AB123" s="72"/>
      <c r="AC123" s="267"/>
      <c r="AD123" s="545">
        <f t="shared" si="54"/>
        <v>0</v>
      </c>
      <c r="AE123" s="62"/>
      <c r="AF123" s="73"/>
      <c r="AG123" s="73"/>
      <c r="AH123" s="73"/>
      <c r="AI123" s="74"/>
      <c r="AJ123" s="75"/>
      <c r="AK123" s="467"/>
      <c r="AL123" s="546"/>
      <c r="AM123" s="468" t="str">
        <f t="shared" si="50"/>
        <v/>
      </c>
      <c r="AN123" s="469" t="str">
        <f t="shared" si="43"/>
        <v/>
      </c>
      <c r="AO123" s="463" t="s">
        <v>4454</v>
      </c>
      <c r="AP123" s="463"/>
      <c r="AR123" s="63"/>
      <c r="AS123" s="64"/>
      <c r="AT123" s="65"/>
      <c r="AU123" s="66"/>
      <c r="AV123" s="67" t="e">
        <f>#REF!-#REF!</f>
        <v>#REF!</v>
      </c>
    </row>
    <row r="124" spans="1:48" customFormat="1" ht="25.5" customHeight="1" outlineLevel="2" thickBot="1">
      <c r="A124" s="542">
        <v>1731</v>
      </c>
      <c r="B124" s="405" t="s">
        <v>4500</v>
      </c>
      <c r="C124" s="458">
        <v>32</v>
      </c>
      <c r="D124" s="542">
        <v>1731</v>
      </c>
      <c r="E124" s="407" t="s">
        <v>4512</v>
      </c>
      <c r="F124" s="428" t="s">
        <v>5525</v>
      </c>
      <c r="G124" s="409"/>
      <c r="H124" s="410" t="s">
        <v>5529</v>
      </c>
      <c r="I124" s="411">
        <v>17</v>
      </c>
      <c r="J124" s="459" t="s">
        <v>4522</v>
      </c>
      <c r="K124" s="460">
        <v>24</v>
      </c>
      <c r="L124" s="413">
        <v>44287</v>
      </c>
      <c r="M124" s="464" t="s">
        <v>13</v>
      </c>
      <c r="N124" s="415">
        <v>44286</v>
      </c>
      <c r="O124" s="280">
        <v>300000</v>
      </c>
      <c r="P124" s="465">
        <v>200000</v>
      </c>
      <c r="Q124" s="263">
        <f t="shared" si="52"/>
        <v>200000</v>
      </c>
      <c r="R124" s="284"/>
      <c r="S124" s="59">
        <v>200000</v>
      </c>
      <c r="T124" s="466">
        <v>200000</v>
      </c>
      <c r="U124" s="418">
        <v>200000</v>
      </c>
      <c r="V124" s="43"/>
      <c r="W124" s="44"/>
      <c r="X124" s="58" t="s">
        <v>4506</v>
      </c>
      <c r="Y124" s="46"/>
      <c r="Z124" s="46"/>
      <c r="AA124" s="47">
        <f t="shared" si="53"/>
        <v>200000</v>
      </c>
      <c r="AB124" s="48">
        <f>SUM(AE124:AI124)+AJ124</f>
        <v>200000</v>
      </c>
      <c r="AC124" s="265"/>
      <c r="AD124" s="424">
        <f t="shared" si="54"/>
        <v>0</v>
      </c>
      <c r="AE124" s="49"/>
      <c r="AF124" s="50"/>
      <c r="AG124" s="50"/>
      <c r="AH124" s="50"/>
      <c r="AI124" s="51"/>
      <c r="AJ124" s="52">
        <f>+S124</f>
        <v>200000</v>
      </c>
      <c r="AK124" s="462"/>
      <c r="AL124" s="396" t="s">
        <v>5439</v>
      </c>
      <c r="AM124" s="308" t="str">
        <f t="shared" si="50"/>
        <v>1731</v>
      </c>
      <c r="AN124" s="369" t="str">
        <f t="shared" si="43"/>
        <v>1731</v>
      </c>
      <c r="AO124" s="542">
        <v>1731</v>
      </c>
      <c r="AP124" s="542"/>
      <c r="AR124" s="168">
        <f>U125+AB124</f>
        <v>1250000</v>
      </c>
      <c r="AS124" s="54"/>
      <c r="AT124" s="55"/>
      <c r="AU124" s="41"/>
      <c r="AV124" s="57" t="e">
        <f>#REF!-#REF!</f>
        <v>#REF!</v>
      </c>
    </row>
    <row r="125" spans="1:48" ht="25.5" customHeight="1" outlineLevel="1" thickBot="1">
      <c r="A125" s="291" t="s">
        <v>4454</v>
      </c>
      <c r="B125" s="507"/>
      <c r="C125" s="508">
        <v>32</v>
      </c>
      <c r="D125" s="291" t="s">
        <v>4454</v>
      </c>
      <c r="E125" s="509"/>
      <c r="F125" s="510" t="s">
        <v>5214</v>
      </c>
      <c r="G125" s="511"/>
      <c r="H125" s="512"/>
      <c r="I125" s="513"/>
      <c r="J125" s="514"/>
      <c r="K125" s="515"/>
      <c r="L125" s="516"/>
      <c r="M125" s="517"/>
      <c r="N125" s="518"/>
      <c r="O125" s="519">
        <v>1150000</v>
      </c>
      <c r="P125" s="520">
        <f>SUM(P119:P124)</f>
        <v>1050000</v>
      </c>
      <c r="Q125" s="521">
        <f>SUBTOTAL(9,Q119:Q124)</f>
        <v>1050000</v>
      </c>
      <c r="R125" s="522">
        <f>SUBTOTAL(9,R119:R124)</f>
        <v>450000</v>
      </c>
      <c r="S125" s="523">
        <f>SUBTOTAL(9,S119:S124)</f>
        <v>600000</v>
      </c>
      <c r="T125" s="524">
        <v>1050000</v>
      </c>
      <c r="U125" s="549">
        <v>1050000</v>
      </c>
      <c r="V125" s="94"/>
      <c r="W125" s="95"/>
      <c r="X125" s="96"/>
      <c r="Y125" s="97"/>
      <c r="Z125" s="97"/>
      <c r="AA125" s="98">
        <f>SUBTOTAL(9,AA119:AA124)</f>
        <v>1050000</v>
      </c>
      <c r="AB125" s="176">
        <f>SUBTOTAL(9,AB119:AB124)</f>
        <v>600000</v>
      </c>
      <c r="AC125" s="273"/>
      <c r="AD125" s="526">
        <f>SUM(AE125:AJ125)</f>
        <v>600000</v>
      </c>
      <c r="AE125" s="100">
        <f t="shared" ref="AE125:AK125" si="55">SUBTOTAL(9,AE119:AE124)</f>
        <v>0</v>
      </c>
      <c r="AF125" s="101">
        <f t="shared" si="55"/>
        <v>0</v>
      </c>
      <c r="AG125" s="101">
        <f t="shared" si="55"/>
        <v>0</v>
      </c>
      <c r="AH125" s="101">
        <f t="shared" si="55"/>
        <v>0</v>
      </c>
      <c r="AI125" s="102">
        <f t="shared" si="55"/>
        <v>0</v>
      </c>
      <c r="AJ125" s="103">
        <f t="shared" si="55"/>
        <v>600000</v>
      </c>
      <c r="AK125" s="527">
        <f t="shared" si="55"/>
        <v>0</v>
      </c>
      <c r="AL125" s="563"/>
      <c r="AM125" s="308" t="str">
        <f t="shared" si="50"/>
        <v/>
      </c>
      <c r="AN125" s="369" t="str">
        <f t="shared" si="43"/>
        <v/>
      </c>
      <c r="AO125" s="291" t="s">
        <v>4454</v>
      </c>
      <c r="AR125" s="137">
        <f>SUBTOTAL(9,AR119:AR124)</f>
        <v>1950000</v>
      </c>
      <c r="AS125" s="107"/>
      <c r="AT125" s="108">
        <f>SUBTOTAL(9,AT119:AT121)</f>
        <v>0</v>
      </c>
      <c r="AU125" s="109"/>
      <c r="AV125" s="110" t="e">
        <f>SUBTOTAL(9,AV119:AV124)</f>
        <v>#REF!</v>
      </c>
    </row>
    <row r="126" spans="1:48" ht="25.5" customHeight="1" outlineLevel="2">
      <c r="A126" s="291">
        <v>2136</v>
      </c>
      <c r="B126" s="482" t="s">
        <v>4459</v>
      </c>
      <c r="C126" s="458">
        <v>33</v>
      </c>
      <c r="D126" s="291">
        <v>2136</v>
      </c>
      <c r="E126" s="407" t="s">
        <v>4460</v>
      </c>
      <c r="F126" s="428" t="s">
        <v>5530</v>
      </c>
      <c r="G126" s="409"/>
      <c r="H126" s="429" t="s">
        <v>5531</v>
      </c>
      <c r="I126" s="411">
        <v>21</v>
      </c>
      <c r="J126" s="459" t="s">
        <v>4550</v>
      </c>
      <c r="K126" s="437"/>
      <c r="L126" s="413">
        <v>44479</v>
      </c>
      <c r="M126" s="464" t="s">
        <v>13</v>
      </c>
      <c r="N126" s="415">
        <v>44211</v>
      </c>
      <c r="O126" s="280">
        <v>200000</v>
      </c>
      <c r="P126" s="465">
        <v>200000</v>
      </c>
      <c r="Q126" s="263">
        <f t="shared" ref="Q126:Q133" si="56">R126+S126</f>
        <v>200000</v>
      </c>
      <c r="R126" s="284">
        <v>200000</v>
      </c>
      <c r="S126" s="285"/>
      <c r="T126" s="466">
        <v>200000</v>
      </c>
      <c r="U126" s="418">
        <v>200000</v>
      </c>
      <c r="V126" s="43"/>
      <c r="W126" s="44"/>
      <c r="X126" s="45">
        <f>+N126+14</f>
        <v>44225</v>
      </c>
      <c r="Y126" s="46"/>
      <c r="Z126" s="46"/>
      <c r="AA126" s="47">
        <f t="shared" ref="AA126:AA133" si="57">Q126+AB126-AJ126</f>
        <v>200000</v>
      </c>
      <c r="AB126" s="48">
        <f>SUM(AE126:AI126)</f>
        <v>0</v>
      </c>
      <c r="AC126" s="265"/>
      <c r="AD126" s="424">
        <f t="shared" ref="AD126:AD133" si="58">SUM(AE126:AJ126)-AJ126</f>
        <v>0</v>
      </c>
      <c r="AE126" s="49"/>
      <c r="AF126" s="50"/>
      <c r="AG126" s="50"/>
      <c r="AH126" s="50"/>
      <c r="AI126" s="51"/>
      <c r="AJ126" s="52"/>
      <c r="AK126" s="462"/>
      <c r="AL126" s="442"/>
      <c r="AM126" s="308" t="str">
        <f t="shared" si="50"/>
        <v>2136</v>
      </c>
      <c r="AN126" s="369" t="str">
        <f t="shared" si="43"/>
        <v>2136</v>
      </c>
      <c r="AO126" s="291">
        <v>2136</v>
      </c>
      <c r="AR126" s="47">
        <f>U127+AB126</f>
        <v>200000</v>
      </c>
      <c r="AS126" s="54"/>
      <c r="AT126" s="55"/>
      <c r="AU126" s="56"/>
      <c r="AV126" s="57" t="e">
        <f>#REF!-#REF!</f>
        <v>#REF!</v>
      </c>
    </row>
    <row r="127" spans="1:48" ht="25.5" customHeight="1" outlineLevel="2">
      <c r="A127" s="291">
        <v>2137</v>
      </c>
      <c r="B127" s="482" t="s">
        <v>4459</v>
      </c>
      <c r="C127" s="458">
        <v>33</v>
      </c>
      <c r="D127" s="291">
        <v>2137</v>
      </c>
      <c r="E127" s="407" t="s">
        <v>4460</v>
      </c>
      <c r="F127" s="428" t="s">
        <v>5530</v>
      </c>
      <c r="G127" s="409"/>
      <c r="H127" s="429" t="s">
        <v>5532</v>
      </c>
      <c r="I127" s="411">
        <v>21</v>
      </c>
      <c r="J127" s="459" t="s">
        <v>4551</v>
      </c>
      <c r="K127" s="437"/>
      <c r="L127" s="413">
        <v>44303</v>
      </c>
      <c r="M127" s="464" t="s">
        <v>13</v>
      </c>
      <c r="N127" s="415">
        <v>44324</v>
      </c>
      <c r="O127" s="280">
        <v>200000</v>
      </c>
      <c r="P127" s="465">
        <v>200000</v>
      </c>
      <c r="Q127" s="263">
        <f t="shared" si="56"/>
        <v>200000</v>
      </c>
      <c r="R127" s="284">
        <v>200000</v>
      </c>
      <c r="S127" s="285"/>
      <c r="T127" s="466">
        <v>200000</v>
      </c>
      <c r="U127" s="418">
        <v>200000</v>
      </c>
      <c r="V127" s="43"/>
      <c r="W127" s="44"/>
      <c r="X127" s="45">
        <f>+N127+14</f>
        <v>44338</v>
      </c>
      <c r="Y127" s="46"/>
      <c r="Z127" s="46"/>
      <c r="AA127" s="47">
        <f t="shared" si="57"/>
        <v>200000</v>
      </c>
      <c r="AB127" s="48">
        <f>SUM(AE127:AI127)</f>
        <v>0</v>
      </c>
      <c r="AC127" s="265"/>
      <c r="AD127" s="424">
        <f t="shared" si="58"/>
        <v>0</v>
      </c>
      <c r="AE127" s="49"/>
      <c r="AF127" s="50"/>
      <c r="AG127" s="50"/>
      <c r="AH127" s="50"/>
      <c r="AI127" s="51"/>
      <c r="AJ127" s="52"/>
      <c r="AK127" s="462"/>
      <c r="AL127" s="442"/>
      <c r="AM127" s="308" t="str">
        <f t="shared" si="50"/>
        <v>2137</v>
      </c>
      <c r="AN127" s="369" t="str">
        <f t="shared" si="43"/>
        <v>2137</v>
      </c>
      <c r="AO127" s="291">
        <v>2137</v>
      </c>
      <c r="AR127" s="47">
        <f>U128+AB127</f>
        <v>0</v>
      </c>
      <c r="AS127" s="54"/>
      <c r="AT127" s="55"/>
      <c r="AU127" s="56"/>
      <c r="AV127" s="57" t="e">
        <f>#REF!-#REF!</f>
        <v>#REF!</v>
      </c>
    </row>
    <row r="128" spans="1:48" s="470" customFormat="1" ht="25.5" customHeight="1" outlineLevel="2">
      <c r="A128" s="463" t="s">
        <v>4454</v>
      </c>
      <c r="B128" s="608" t="s">
        <v>4459</v>
      </c>
      <c r="C128" s="472">
        <v>33</v>
      </c>
      <c r="D128" s="463" t="s">
        <v>4454</v>
      </c>
      <c r="E128" s="473" t="s">
        <v>4541</v>
      </c>
      <c r="F128" s="474" t="s">
        <v>5530</v>
      </c>
      <c r="G128" s="475"/>
      <c r="H128" s="570" t="s">
        <v>5533</v>
      </c>
      <c r="I128" s="476"/>
      <c r="J128" s="477"/>
      <c r="K128" s="437"/>
      <c r="L128" s="487"/>
      <c r="M128" s="464" t="s">
        <v>13</v>
      </c>
      <c r="N128" s="488"/>
      <c r="O128" s="280">
        <v>0</v>
      </c>
      <c r="P128" s="465"/>
      <c r="Q128" s="263">
        <f t="shared" si="56"/>
        <v>0</v>
      </c>
      <c r="R128" s="278"/>
      <c r="S128" s="279"/>
      <c r="T128" s="466"/>
      <c r="U128" s="418">
        <v>0</v>
      </c>
      <c r="V128" s="61"/>
      <c r="W128" s="68"/>
      <c r="X128" s="171"/>
      <c r="Y128" s="70"/>
      <c r="Z128" s="70"/>
      <c r="AA128" s="71">
        <f t="shared" si="57"/>
        <v>0</v>
      </c>
      <c r="AB128" s="166">
        <f>SUM(AE128:AI128)+AJ128</f>
        <v>0</v>
      </c>
      <c r="AC128" s="281"/>
      <c r="AD128" s="545">
        <f t="shared" si="58"/>
        <v>0</v>
      </c>
      <c r="AE128" s="62"/>
      <c r="AF128" s="73"/>
      <c r="AG128" s="73"/>
      <c r="AH128" s="73"/>
      <c r="AI128" s="74"/>
      <c r="AJ128" s="75"/>
      <c r="AK128" s="467"/>
      <c r="AL128" s="546" t="s">
        <v>4536</v>
      </c>
      <c r="AM128" s="468" t="str">
        <f t="shared" si="50"/>
        <v/>
      </c>
      <c r="AN128" s="469" t="str">
        <f t="shared" si="43"/>
        <v/>
      </c>
      <c r="AO128" s="463" t="s">
        <v>4454</v>
      </c>
      <c r="AP128" s="463"/>
      <c r="AR128" s="71"/>
      <c r="AS128" s="64"/>
      <c r="AT128" s="65"/>
      <c r="AU128" s="66"/>
      <c r="AV128" s="67" t="e">
        <f>#REF!-#REF!</f>
        <v>#REF!</v>
      </c>
    </row>
    <row r="129" spans="1:56" s="470" customFormat="1" ht="25.5" customHeight="1" outlineLevel="2">
      <c r="A129" s="463" t="s">
        <v>4454</v>
      </c>
      <c r="B129" s="607" t="s">
        <v>4459</v>
      </c>
      <c r="C129" s="472">
        <v>33</v>
      </c>
      <c r="D129" s="463" t="s">
        <v>4454</v>
      </c>
      <c r="E129" s="473" t="s">
        <v>4534</v>
      </c>
      <c r="F129" s="474" t="s">
        <v>5530</v>
      </c>
      <c r="G129" s="475"/>
      <c r="H129" s="486" t="s">
        <v>5534</v>
      </c>
      <c r="I129" s="476"/>
      <c r="J129" s="477"/>
      <c r="K129" s="437"/>
      <c r="L129" s="487"/>
      <c r="M129" s="464" t="s">
        <v>13</v>
      </c>
      <c r="N129" s="488"/>
      <c r="O129" s="280">
        <v>0</v>
      </c>
      <c r="P129" s="465"/>
      <c r="Q129" s="263">
        <f t="shared" si="56"/>
        <v>0</v>
      </c>
      <c r="R129" s="278"/>
      <c r="S129" s="279"/>
      <c r="T129" s="466"/>
      <c r="U129" s="418">
        <v>0</v>
      </c>
      <c r="V129" s="61"/>
      <c r="W129" s="68"/>
      <c r="X129" s="79"/>
      <c r="Y129" s="70"/>
      <c r="Z129" s="70"/>
      <c r="AA129" s="71">
        <f t="shared" si="57"/>
        <v>0</v>
      </c>
      <c r="AB129" s="72">
        <f>SUM(AE129:AI129)</f>
        <v>0</v>
      </c>
      <c r="AC129" s="267"/>
      <c r="AD129" s="545">
        <f t="shared" si="58"/>
        <v>0</v>
      </c>
      <c r="AE129" s="62"/>
      <c r="AF129" s="73"/>
      <c r="AG129" s="73"/>
      <c r="AH129" s="73"/>
      <c r="AI129" s="74"/>
      <c r="AJ129" s="75"/>
      <c r="AK129" s="467"/>
      <c r="AL129" s="546"/>
      <c r="AM129" s="468" t="str">
        <f t="shared" si="50"/>
        <v/>
      </c>
      <c r="AN129" s="469" t="str">
        <f t="shared" ref="AN129:AN160" si="59">I129&amp;J129</f>
        <v/>
      </c>
      <c r="AO129" s="463" t="s">
        <v>4454</v>
      </c>
      <c r="AP129" s="463"/>
      <c r="AR129" s="71">
        <f>U130+AB129</f>
        <v>0</v>
      </c>
      <c r="AS129" s="64"/>
      <c r="AT129" s="65"/>
      <c r="AU129" s="66"/>
      <c r="AV129" s="67" t="e">
        <f>#REF!-#REF!</f>
        <v>#REF!</v>
      </c>
    </row>
    <row r="130" spans="1:56" s="470" customFormat="1" ht="25.5" customHeight="1" outlineLevel="2">
      <c r="A130" s="463" t="s">
        <v>4454</v>
      </c>
      <c r="B130" s="608" t="s">
        <v>4459</v>
      </c>
      <c r="C130" s="472">
        <v>33</v>
      </c>
      <c r="D130" s="463" t="s">
        <v>4454</v>
      </c>
      <c r="E130" s="473" t="s">
        <v>4534</v>
      </c>
      <c r="F130" s="474" t="s">
        <v>5530</v>
      </c>
      <c r="G130" s="475"/>
      <c r="H130" s="486" t="s">
        <v>5535</v>
      </c>
      <c r="I130" s="476"/>
      <c r="J130" s="477"/>
      <c r="K130" s="437"/>
      <c r="L130" s="487"/>
      <c r="M130" s="464" t="s">
        <v>13</v>
      </c>
      <c r="N130" s="623"/>
      <c r="O130" s="280">
        <v>0</v>
      </c>
      <c r="P130" s="465"/>
      <c r="Q130" s="263">
        <f t="shared" si="56"/>
        <v>0</v>
      </c>
      <c r="R130" s="278"/>
      <c r="S130" s="279"/>
      <c r="T130" s="466"/>
      <c r="U130" s="418">
        <v>0</v>
      </c>
      <c r="V130" s="61"/>
      <c r="W130" s="68"/>
      <c r="X130" s="79"/>
      <c r="Y130" s="70"/>
      <c r="Z130" s="70"/>
      <c r="AA130" s="71">
        <f t="shared" si="57"/>
        <v>0</v>
      </c>
      <c r="AB130" s="72">
        <f>SUM(AE130:AI130)</f>
        <v>0</v>
      </c>
      <c r="AC130" s="267"/>
      <c r="AD130" s="624">
        <f t="shared" si="58"/>
        <v>0</v>
      </c>
      <c r="AE130" s="62"/>
      <c r="AF130" s="73"/>
      <c r="AG130" s="73"/>
      <c r="AH130" s="73"/>
      <c r="AI130" s="74"/>
      <c r="AJ130" s="75"/>
      <c r="AK130" s="467"/>
      <c r="AL130" s="546"/>
      <c r="AM130" s="468" t="str">
        <f t="shared" si="50"/>
        <v/>
      </c>
      <c r="AN130" s="469" t="str">
        <f t="shared" si="59"/>
        <v/>
      </c>
      <c r="AO130" s="463" t="s">
        <v>4454</v>
      </c>
      <c r="AP130" s="463"/>
      <c r="AR130" s="71">
        <f>U131+AB130</f>
        <v>0</v>
      </c>
      <c r="AS130" s="64"/>
      <c r="AT130" s="65"/>
      <c r="AU130" s="66"/>
      <c r="AV130" s="67" t="e">
        <f>#REF!-#REF!</f>
        <v>#REF!</v>
      </c>
    </row>
    <row r="131" spans="1:56" s="470" customFormat="1" ht="25.5" customHeight="1" outlineLevel="2">
      <c r="A131" s="463" t="s">
        <v>4454</v>
      </c>
      <c r="B131" s="485"/>
      <c r="C131" s="472" t="s">
        <v>4524</v>
      </c>
      <c r="D131" s="463" t="s">
        <v>4454</v>
      </c>
      <c r="E131" s="473"/>
      <c r="F131" s="474" t="s">
        <v>5530</v>
      </c>
      <c r="G131" s="475"/>
      <c r="H131" s="486"/>
      <c r="I131" s="476"/>
      <c r="J131" s="477"/>
      <c r="K131" s="437"/>
      <c r="L131" s="487"/>
      <c r="M131" s="464" t="s">
        <v>13</v>
      </c>
      <c r="N131" s="488"/>
      <c r="O131" s="280">
        <v>0</v>
      </c>
      <c r="P131" s="465"/>
      <c r="Q131" s="263">
        <f t="shared" si="56"/>
        <v>0</v>
      </c>
      <c r="R131" s="278"/>
      <c r="S131" s="279"/>
      <c r="T131" s="466"/>
      <c r="U131" s="418">
        <v>0</v>
      </c>
      <c r="V131" s="61"/>
      <c r="W131" s="68"/>
      <c r="X131" s="79"/>
      <c r="Y131" s="70"/>
      <c r="Z131" s="70"/>
      <c r="AA131" s="63">
        <f t="shared" si="57"/>
        <v>0</v>
      </c>
      <c r="AB131" s="72"/>
      <c r="AC131" s="267"/>
      <c r="AD131" s="545">
        <f t="shared" si="58"/>
        <v>0</v>
      </c>
      <c r="AE131" s="62"/>
      <c r="AF131" s="73"/>
      <c r="AG131" s="73"/>
      <c r="AH131" s="73"/>
      <c r="AI131" s="74"/>
      <c r="AJ131" s="75"/>
      <c r="AK131" s="467"/>
      <c r="AL131" s="546"/>
      <c r="AM131" s="468" t="str">
        <f t="shared" si="50"/>
        <v/>
      </c>
      <c r="AN131" s="469" t="str">
        <f t="shared" si="59"/>
        <v/>
      </c>
      <c r="AO131" s="463" t="s">
        <v>4454</v>
      </c>
      <c r="AP131" s="463"/>
      <c r="AR131" s="63"/>
      <c r="AS131" s="64"/>
      <c r="AT131" s="65"/>
      <c r="AU131" s="66"/>
      <c r="AV131" s="67" t="e">
        <f>#REF!-#REF!</f>
        <v>#REF!</v>
      </c>
    </row>
    <row r="132" spans="1:56" s="470" customFormat="1" ht="25.5" customHeight="1" outlineLevel="2">
      <c r="A132" s="463" t="s">
        <v>4454</v>
      </c>
      <c r="B132" s="485"/>
      <c r="C132" s="472" t="s">
        <v>4524</v>
      </c>
      <c r="D132" s="463" t="s">
        <v>4454</v>
      </c>
      <c r="E132" s="473"/>
      <c r="F132" s="474" t="s">
        <v>5530</v>
      </c>
      <c r="G132" s="475"/>
      <c r="H132" s="486"/>
      <c r="I132" s="476"/>
      <c r="J132" s="477"/>
      <c r="K132" s="437"/>
      <c r="L132" s="487"/>
      <c r="M132" s="464" t="s">
        <v>13</v>
      </c>
      <c r="N132" s="488"/>
      <c r="O132" s="280">
        <v>0</v>
      </c>
      <c r="P132" s="465"/>
      <c r="Q132" s="263">
        <f t="shared" si="56"/>
        <v>0</v>
      </c>
      <c r="R132" s="278"/>
      <c r="S132" s="279"/>
      <c r="T132" s="466"/>
      <c r="U132" s="418">
        <v>0</v>
      </c>
      <c r="V132" s="61"/>
      <c r="W132" s="68"/>
      <c r="X132" s="79"/>
      <c r="Y132" s="70"/>
      <c r="Z132" s="70"/>
      <c r="AA132" s="63">
        <f t="shared" si="57"/>
        <v>0</v>
      </c>
      <c r="AB132" s="72"/>
      <c r="AC132" s="267"/>
      <c r="AD132" s="545">
        <f t="shared" si="58"/>
        <v>0</v>
      </c>
      <c r="AE132" s="62"/>
      <c r="AF132" s="73"/>
      <c r="AG132" s="73"/>
      <c r="AH132" s="73"/>
      <c r="AI132" s="74"/>
      <c r="AJ132" s="75"/>
      <c r="AK132" s="467"/>
      <c r="AL132" s="546"/>
      <c r="AM132" s="468" t="str">
        <f t="shared" si="50"/>
        <v/>
      </c>
      <c r="AN132" s="469" t="str">
        <f t="shared" si="59"/>
        <v/>
      </c>
      <c r="AO132" s="463" t="s">
        <v>4454</v>
      </c>
      <c r="AP132" s="463"/>
      <c r="AR132" s="63"/>
      <c r="AS132" s="64"/>
      <c r="AT132" s="65"/>
      <c r="AU132" s="66"/>
      <c r="AV132" s="67" t="e">
        <f>#REF!-#REF!</f>
        <v>#REF!</v>
      </c>
    </row>
    <row r="133" spans="1:56" s="470" customFormat="1" ht="25.5" customHeight="1" outlineLevel="2" thickBot="1">
      <c r="A133" s="463">
        <v>1732</v>
      </c>
      <c r="B133" s="608" t="s">
        <v>4500</v>
      </c>
      <c r="C133" s="472">
        <v>33</v>
      </c>
      <c r="D133" s="463">
        <v>1732</v>
      </c>
      <c r="E133" s="473" t="s">
        <v>4512</v>
      </c>
      <c r="F133" s="474" t="s">
        <v>5530</v>
      </c>
      <c r="G133" s="475"/>
      <c r="H133" s="486" t="s">
        <v>5536</v>
      </c>
      <c r="I133" s="476">
        <v>17</v>
      </c>
      <c r="J133" s="477" t="s">
        <v>4523</v>
      </c>
      <c r="K133" s="437"/>
      <c r="L133" s="487"/>
      <c r="M133" s="464" t="s">
        <v>13</v>
      </c>
      <c r="N133" s="488"/>
      <c r="O133" s="280">
        <v>0</v>
      </c>
      <c r="P133" s="465"/>
      <c r="Q133" s="263">
        <f t="shared" si="56"/>
        <v>0</v>
      </c>
      <c r="R133" s="278"/>
      <c r="S133" s="279"/>
      <c r="T133" s="466"/>
      <c r="U133" s="418">
        <v>0</v>
      </c>
      <c r="V133" s="61"/>
      <c r="W133" s="68"/>
      <c r="X133" s="79">
        <v>43200</v>
      </c>
      <c r="Y133" s="70"/>
      <c r="Z133" s="70"/>
      <c r="AA133" s="71">
        <f t="shared" si="57"/>
        <v>0</v>
      </c>
      <c r="AB133" s="72">
        <f>SUM(AE133:AI133)</f>
        <v>0</v>
      </c>
      <c r="AC133" s="267"/>
      <c r="AD133" s="545">
        <f t="shared" si="58"/>
        <v>0</v>
      </c>
      <c r="AE133" s="62"/>
      <c r="AF133" s="73"/>
      <c r="AG133" s="73"/>
      <c r="AH133" s="73"/>
      <c r="AI133" s="74"/>
      <c r="AJ133" s="75"/>
      <c r="AK133" s="467"/>
      <c r="AL133" s="546"/>
      <c r="AM133" s="468" t="str">
        <f t="shared" si="50"/>
        <v>1732</v>
      </c>
      <c r="AN133" s="469" t="str">
        <f t="shared" si="59"/>
        <v>1732</v>
      </c>
      <c r="AO133" s="463">
        <v>1732</v>
      </c>
      <c r="AP133" s="463"/>
      <c r="AR133" s="71">
        <f>U134+AB133</f>
        <v>400000</v>
      </c>
      <c r="AS133" s="64"/>
      <c r="AT133" s="65"/>
      <c r="AU133" s="66"/>
      <c r="AV133" s="67" t="e">
        <f>#REF!-#REF!</f>
        <v>#REF!</v>
      </c>
    </row>
    <row r="134" spans="1:56" ht="25.5" customHeight="1" outlineLevel="1" thickBot="1">
      <c r="A134" s="291" t="s">
        <v>4454</v>
      </c>
      <c r="B134" s="507"/>
      <c r="C134" s="508">
        <v>33</v>
      </c>
      <c r="D134" s="291" t="s">
        <v>4454</v>
      </c>
      <c r="E134" s="509"/>
      <c r="F134" s="510" t="s">
        <v>5215</v>
      </c>
      <c r="G134" s="511"/>
      <c r="H134" s="512"/>
      <c r="I134" s="513"/>
      <c r="J134" s="514"/>
      <c r="K134" s="515"/>
      <c r="L134" s="516"/>
      <c r="M134" s="517"/>
      <c r="N134" s="518"/>
      <c r="O134" s="519">
        <v>400000</v>
      </c>
      <c r="P134" s="520">
        <f>SUM(P126:P133)</f>
        <v>400000</v>
      </c>
      <c r="Q134" s="521">
        <f>SUBTOTAL(9,Q126:Q133)</f>
        <v>400000</v>
      </c>
      <c r="R134" s="522">
        <f>SUBTOTAL(9,R126:R133)</f>
        <v>400000</v>
      </c>
      <c r="S134" s="523">
        <f>SUBTOTAL(9,S126:S133)</f>
        <v>0</v>
      </c>
      <c r="T134" s="524">
        <v>400000</v>
      </c>
      <c r="U134" s="625">
        <v>400000</v>
      </c>
      <c r="V134" s="94"/>
      <c r="W134" s="95"/>
      <c r="X134" s="96"/>
      <c r="Y134" s="97"/>
      <c r="Z134" s="97"/>
      <c r="AA134" s="137">
        <f>SUBTOTAL(9,AA126:AA133)</f>
        <v>400000</v>
      </c>
      <c r="AB134" s="99">
        <f t="shared" ref="AB134:AK134" si="60">SUBTOTAL(9,AB126:AB133)</f>
        <v>0</v>
      </c>
      <c r="AC134" s="273"/>
      <c r="AD134" s="526">
        <f>SUM(AE134:AJ134)</f>
        <v>0</v>
      </c>
      <c r="AE134" s="100">
        <f t="shared" si="60"/>
        <v>0</v>
      </c>
      <c r="AF134" s="101">
        <f t="shared" si="60"/>
        <v>0</v>
      </c>
      <c r="AG134" s="101">
        <f t="shared" si="60"/>
        <v>0</v>
      </c>
      <c r="AH134" s="101">
        <f t="shared" si="60"/>
        <v>0</v>
      </c>
      <c r="AI134" s="102">
        <f t="shared" si="60"/>
        <v>0</v>
      </c>
      <c r="AJ134" s="103">
        <f t="shared" si="60"/>
        <v>0</v>
      </c>
      <c r="AK134" s="527">
        <f t="shared" si="60"/>
        <v>0</v>
      </c>
      <c r="AL134" s="609">
        <f>Q118+Q125+Q134</f>
        <v>5700000</v>
      </c>
      <c r="AM134" s="308" t="str">
        <f t="shared" si="50"/>
        <v/>
      </c>
      <c r="AN134" s="369" t="str">
        <f t="shared" si="59"/>
        <v/>
      </c>
      <c r="AO134" s="291" t="s">
        <v>4454</v>
      </c>
      <c r="AR134" s="137">
        <f>SUBTOTAL(9,AR126:AR133)</f>
        <v>600000</v>
      </c>
      <c r="AS134" s="107"/>
      <c r="AT134" s="108">
        <f>SUBTOTAL(9,AT126:AT133)</f>
        <v>0</v>
      </c>
      <c r="AU134" s="109"/>
      <c r="AV134" s="110" t="e">
        <f>SUBTOTAL(9,AV126:AV133)</f>
        <v>#REF!</v>
      </c>
    </row>
    <row r="135" spans="1:56" ht="25.5" customHeight="1" outlineLevel="2">
      <c r="A135" s="291">
        <v>1542</v>
      </c>
      <c r="B135" s="337" t="s">
        <v>4448</v>
      </c>
      <c r="C135" s="551">
        <v>41</v>
      </c>
      <c r="D135" s="291">
        <v>1542</v>
      </c>
      <c r="E135" s="339" t="s">
        <v>4553</v>
      </c>
      <c r="F135" s="340" t="s">
        <v>5216</v>
      </c>
      <c r="G135" s="341"/>
      <c r="H135" s="552" t="s">
        <v>4554</v>
      </c>
      <c r="I135" s="343">
        <v>15</v>
      </c>
      <c r="J135" s="344" t="s">
        <v>4538</v>
      </c>
      <c r="K135" s="553">
        <v>19</v>
      </c>
      <c r="L135" s="346">
        <v>44287</v>
      </c>
      <c r="M135" s="554" t="s">
        <v>13</v>
      </c>
      <c r="N135" s="438">
        <v>44286</v>
      </c>
      <c r="O135" s="349">
        <v>1500000</v>
      </c>
      <c r="P135" s="555">
        <v>1500000</v>
      </c>
      <c r="Q135" s="351">
        <f t="shared" ref="Q135:Q141" si="61">R135+S135</f>
        <v>1500000</v>
      </c>
      <c r="R135" s="352"/>
      <c r="S135" s="201">
        <v>1500000</v>
      </c>
      <c r="T135" s="556">
        <v>1500000</v>
      </c>
      <c r="U135" s="355">
        <v>1500000</v>
      </c>
      <c r="V135" s="206"/>
      <c r="W135" s="611"/>
      <c r="X135" s="173" t="s">
        <v>4506</v>
      </c>
      <c r="Y135" s="557"/>
      <c r="Z135" s="557"/>
      <c r="AA135" s="198">
        <f t="shared" ref="AA135:AA155" si="62">Q135+AB135-AJ135</f>
        <v>1500000</v>
      </c>
      <c r="AB135" s="48">
        <f t="shared" ref="AB135:AB155" si="63">SUM(AE135:AI135)+AJ135</f>
        <v>1500000</v>
      </c>
      <c r="AC135" s="265"/>
      <c r="AD135" s="362">
        <f t="shared" ref="AD135:AD155" si="64">SUM(AE135:AJ135)-AJ135</f>
        <v>0</v>
      </c>
      <c r="AE135" s="202"/>
      <c r="AF135" s="203"/>
      <c r="AG135" s="203"/>
      <c r="AH135" s="203"/>
      <c r="AI135" s="204"/>
      <c r="AJ135" s="143">
        <f t="shared" ref="AJ135:AJ155" si="65">+S135</f>
        <v>1500000</v>
      </c>
      <c r="AK135" s="558"/>
      <c r="AL135" s="559" t="s">
        <v>5439</v>
      </c>
      <c r="AM135" s="308" t="str">
        <f t="shared" si="50"/>
        <v>1542</v>
      </c>
      <c r="AN135" s="369" t="str">
        <f t="shared" si="59"/>
        <v>1542</v>
      </c>
      <c r="AO135" s="291">
        <v>1542</v>
      </c>
      <c r="AR135" s="47">
        <f t="shared" ref="AR135:AR142" si="66">U136+AB135-AJ135</f>
        <v>1000000</v>
      </c>
      <c r="AS135" s="54"/>
      <c r="AT135" s="55"/>
      <c r="AU135" s="56"/>
      <c r="AV135" s="57" t="e">
        <f>#REF!-#REF!</f>
        <v>#REF!</v>
      </c>
    </row>
    <row r="136" spans="1:56" ht="25.5" customHeight="1" outlineLevel="2">
      <c r="A136" s="291">
        <v>1543</v>
      </c>
      <c r="B136" s="482" t="s">
        <v>4448</v>
      </c>
      <c r="C136" s="458">
        <v>41</v>
      </c>
      <c r="D136" s="291">
        <v>1543</v>
      </c>
      <c r="E136" s="407" t="s">
        <v>4553</v>
      </c>
      <c r="F136" s="428" t="s">
        <v>5216</v>
      </c>
      <c r="G136" s="409"/>
      <c r="H136" s="410" t="s">
        <v>4555</v>
      </c>
      <c r="I136" s="411">
        <v>15</v>
      </c>
      <c r="J136" s="459" t="s">
        <v>4540</v>
      </c>
      <c r="K136" s="460">
        <v>20</v>
      </c>
      <c r="L136" s="413">
        <v>44287</v>
      </c>
      <c r="M136" s="464" t="s">
        <v>13</v>
      </c>
      <c r="N136" s="415">
        <v>44286</v>
      </c>
      <c r="O136" s="280">
        <v>1000000</v>
      </c>
      <c r="P136" s="465">
        <v>1150000</v>
      </c>
      <c r="Q136" s="263">
        <f t="shared" si="61"/>
        <v>1000000</v>
      </c>
      <c r="R136" s="284"/>
      <c r="S136" s="59">
        <v>1000000</v>
      </c>
      <c r="T136" s="466">
        <v>1150000</v>
      </c>
      <c r="U136" s="418">
        <v>1000000</v>
      </c>
      <c r="V136" s="43"/>
      <c r="W136" s="44"/>
      <c r="X136" s="58" t="s">
        <v>4506</v>
      </c>
      <c r="Y136" s="46"/>
      <c r="Z136" s="46"/>
      <c r="AA136" s="47">
        <f t="shared" si="62"/>
        <v>1150000</v>
      </c>
      <c r="AB136" s="48">
        <f t="shared" si="63"/>
        <v>1150000</v>
      </c>
      <c r="AC136" s="265"/>
      <c r="AD136" s="424">
        <f t="shared" si="64"/>
        <v>150000</v>
      </c>
      <c r="AE136" s="49"/>
      <c r="AF136" s="50"/>
      <c r="AG136" s="50"/>
      <c r="AH136" s="50"/>
      <c r="AI136" s="51">
        <v>150000</v>
      </c>
      <c r="AJ136" s="52">
        <f t="shared" si="65"/>
        <v>1000000</v>
      </c>
      <c r="AK136" s="462"/>
      <c r="AL136" s="396" t="s">
        <v>5439</v>
      </c>
      <c r="AM136" s="308" t="str">
        <f t="shared" si="50"/>
        <v>1543</v>
      </c>
      <c r="AN136" s="369" t="str">
        <f t="shared" si="59"/>
        <v>1543</v>
      </c>
      <c r="AO136" s="291">
        <v>1543</v>
      </c>
      <c r="AR136" s="47">
        <f t="shared" si="66"/>
        <v>350000</v>
      </c>
      <c r="AS136" s="54"/>
      <c r="AT136" s="55"/>
      <c r="AU136" s="56"/>
      <c r="AV136" s="57" t="e">
        <f>#REF!-#REF!</f>
        <v>#REF!</v>
      </c>
    </row>
    <row r="137" spans="1:56" ht="25.5" customHeight="1" outlineLevel="2">
      <c r="A137" s="291">
        <v>1544</v>
      </c>
      <c r="B137" s="482" t="s">
        <v>4448</v>
      </c>
      <c r="C137" s="458">
        <v>41</v>
      </c>
      <c r="D137" s="291">
        <v>1544</v>
      </c>
      <c r="E137" s="407" t="s">
        <v>4553</v>
      </c>
      <c r="F137" s="428" t="s">
        <v>5216</v>
      </c>
      <c r="G137" s="409"/>
      <c r="H137" s="410" t="s">
        <v>4556</v>
      </c>
      <c r="I137" s="411">
        <v>15</v>
      </c>
      <c r="J137" s="459" t="s">
        <v>4544</v>
      </c>
      <c r="K137" s="460">
        <v>21</v>
      </c>
      <c r="L137" s="413">
        <v>44287</v>
      </c>
      <c r="M137" s="464" t="s">
        <v>13</v>
      </c>
      <c r="N137" s="415">
        <v>44286</v>
      </c>
      <c r="O137" s="280">
        <v>200000</v>
      </c>
      <c r="P137" s="465">
        <v>200000</v>
      </c>
      <c r="Q137" s="263">
        <f t="shared" si="61"/>
        <v>200000</v>
      </c>
      <c r="R137" s="284"/>
      <c r="S137" s="59">
        <v>200000</v>
      </c>
      <c r="T137" s="466">
        <v>200000</v>
      </c>
      <c r="U137" s="418">
        <v>200000</v>
      </c>
      <c r="V137" s="43"/>
      <c r="W137" s="44"/>
      <c r="X137" s="58" t="s">
        <v>4506</v>
      </c>
      <c r="Y137" s="46"/>
      <c r="Z137" s="46"/>
      <c r="AA137" s="47">
        <f t="shared" si="62"/>
        <v>200000</v>
      </c>
      <c r="AB137" s="48">
        <f t="shared" si="63"/>
        <v>200000</v>
      </c>
      <c r="AC137" s="265"/>
      <c r="AD137" s="424">
        <f t="shared" si="64"/>
        <v>0</v>
      </c>
      <c r="AE137" s="49"/>
      <c r="AF137" s="50"/>
      <c r="AG137" s="50"/>
      <c r="AH137" s="50"/>
      <c r="AI137" s="51"/>
      <c r="AJ137" s="52">
        <f t="shared" si="65"/>
        <v>200000</v>
      </c>
      <c r="AK137" s="462"/>
      <c r="AL137" s="396" t="s">
        <v>5439</v>
      </c>
      <c r="AM137" s="308" t="str">
        <f t="shared" si="50"/>
        <v>1544</v>
      </c>
      <c r="AN137" s="369" t="str">
        <f t="shared" si="59"/>
        <v>1544</v>
      </c>
      <c r="AO137" s="291">
        <v>1544</v>
      </c>
      <c r="AR137" s="47">
        <f t="shared" si="66"/>
        <v>300000</v>
      </c>
      <c r="AS137" s="54"/>
      <c r="AT137" s="55"/>
      <c r="AU137" s="56"/>
      <c r="AV137" s="57" t="e">
        <f>#REF!-#REF!</f>
        <v>#REF!</v>
      </c>
    </row>
    <row r="138" spans="1:56" ht="25.5" customHeight="1" outlineLevel="2">
      <c r="A138" s="291">
        <v>1545</v>
      </c>
      <c r="B138" s="482" t="s">
        <v>4448</v>
      </c>
      <c r="C138" s="458">
        <v>41</v>
      </c>
      <c r="D138" s="291">
        <v>1545</v>
      </c>
      <c r="E138" s="407" t="s">
        <v>4553</v>
      </c>
      <c r="F138" s="428" t="s">
        <v>5216</v>
      </c>
      <c r="G138" s="409"/>
      <c r="H138" s="410" t="s">
        <v>5537</v>
      </c>
      <c r="I138" s="411">
        <v>15</v>
      </c>
      <c r="J138" s="459" t="s">
        <v>4547</v>
      </c>
      <c r="K138" s="460">
        <v>13</v>
      </c>
      <c r="L138" s="413">
        <v>44287</v>
      </c>
      <c r="M138" s="464" t="s">
        <v>13</v>
      </c>
      <c r="N138" s="415">
        <v>44286</v>
      </c>
      <c r="O138" s="280">
        <v>300000</v>
      </c>
      <c r="P138" s="465">
        <v>300000</v>
      </c>
      <c r="Q138" s="263">
        <f t="shared" si="61"/>
        <v>300000</v>
      </c>
      <c r="R138" s="284"/>
      <c r="S138" s="59">
        <v>300000</v>
      </c>
      <c r="T138" s="466">
        <v>300000</v>
      </c>
      <c r="U138" s="418">
        <v>300000</v>
      </c>
      <c r="V138" s="43"/>
      <c r="W138" s="44"/>
      <c r="X138" s="58" t="s">
        <v>4506</v>
      </c>
      <c r="Y138" s="46"/>
      <c r="Z138" s="46"/>
      <c r="AA138" s="47">
        <f t="shared" si="62"/>
        <v>300000</v>
      </c>
      <c r="AB138" s="48">
        <f t="shared" si="63"/>
        <v>300000</v>
      </c>
      <c r="AC138" s="265"/>
      <c r="AD138" s="424">
        <f t="shared" si="64"/>
        <v>0</v>
      </c>
      <c r="AE138" s="49"/>
      <c r="AF138" s="50"/>
      <c r="AG138" s="50"/>
      <c r="AH138" s="50"/>
      <c r="AI138" s="51"/>
      <c r="AJ138" s="52">
        <f t="shared" si="65"/>
        <v>300000</v>
      </c>
      <c r="AK138" s="462"/>
      <c r="AL138" s="396" t="s">
        <v>5439</v>
      </c>
      <c r="AM138" s="308" t="str">
        <f t="shared" si="50"/>
        <v>1545</v>
      </c>
      <c r="AN138" s="369" t="str">
        <f t="shared" si="59"/>
        <v>1545</v>
      </c>
      <c r="AO138" s="291">
        <v>1545</v>
      </c>
      <c r="AR138" s="47">
        <f t="shared" si="66"/>
        <v>300000</v>
      </c>
      <c r="AS138" s="54"/>
      <c r="AT138" s="55"/>
      <c r="AU138" s="56"/>
      <c r="AV138" s="57" t="e">
        <f>#REF!-#REF!</f>
        <v>#REF!</v>
      </c>
    </row>
    <row r="139" spans="1:56" ht="25.5" customHeight="1" outlineLevel="2">
      <c r="A139" s="291">
        <v>1546</v>
      </c>
      <c r="B139" s="482" t="s">
        <v>4448</v>
      </c>
      <c r="C139" s="458">
        <v>41</v>
      </c>
      <c r="D139" s="291">
        <v>1546</v>
      </c>
      <c r="E139" s="407" t="s">
        <v>4553</v>
      </c>
      <c r="F139" s="428" t="s">
        <v>5216</v>
      </c>
      <c r="G139" s="409"/>
      <c r="H139" s="410" t="s">
        <v>5538</v>
      </c>
      <c r="I139" s="411">
        <v>15</v>
      </c>
      <c r="J139" s="459" t="s">
        <v>4549</v>
      </c>
      <c r="K139" s="460">
        <v>14</v>
      </c>
      <c r="L139" s="413">
        <v>44287</v>
      </c>
      <c r="M139" s="464" t="s">
        <v>13</v>
      </c>
      <c r="N139" s="415">
        <v>44286</v>
      </c>
      <c r="O139" s="280">
        <v>300000</v>
      </c>
      <c r="P139" s="465">
        <v>300000</v>
      </c>
      <c r="Q139" s="263">
        <f t="shared" si="61"/>
        <v>300000</v>
      </c>
      <c r="R139" s="284"/>
      <c r="S139" s="59">
        <v>300000</v>
      </c>
      <c r="T139" s="466">
        <v>300000</v>
      </c>
      <c r="U139" s="418">
        <v>300000</v>
      </c>
      <c r="V139" s="43"/>
      <c r="W139" s="44"/>
      <c r="X139" s="58" t="s">
        <v>4506</v>
      </c>
      <c r="Y139" s="46"/>
      <c r="Z139" s="46"/>
      <c r="AA139" s="47">
        <f t="shared" si="62"/>
        <v>300000</v>
      </c>
      <c r="AB139" s="48">
        <f t="shared" si="63"/>
        <v>300000</v>
      </c>
      <c r="AC139" s="265"/>
      <c r="AD139" s="424">
        <f t="shared" si="64"/>
        <v>0</v>
      </c>
      <c r="AE139" s="49"/>
      <c r="AF139" s="50"/>
      <c r="AG139" s="50"/>
      <c r="AH139" s="50"/>
      <c r="AI139" s="51"/>
      <c r="AJ139" s="52">
        <f t="shared" si="65"/>
        <v>300000</v>
      </c>
      <c r="AK139" s="462"/>
      <c r="AL139" s="396" t="s">
        <v>5439</v>
      </c>
      <c r="AM139" s="308" t="str">
        <f t="shared" si="50"/>
        <v>1546</v>
      </c>
      <c r="AN139" s="369" t="str">
        <f t="shared" si="59"/>
        <v>1546</v>
      </c>
      <c r="AO139" s="291">
        <v>1546</v>
      </c>
      <c r="AR139" s="47">
        <f t="shared" si="66"/>
        <v>300000</v>
      </c>
      <c r="AS139" s="54"/>
      <c r="AT139" s="55"/>
      <c r="AU139" s="56"/>
      <c r="AV139" s="57" t="e">
        <f>#REF!-#REF!</f>
        <v>#REF!</v>
      </c>
    </row>
    <row r="140" spans="1:56" ht="25.5" customHeight="1" outlineLevel="2">
      <c r="A140" s="291">
        <v>1547</v>
      </c>
      <c r="B140" s="482" t="s">
        <v>4448</v>
      </c>
      <c r="C140" s="458">
        <v>41</v>
      </c>
      <c r="D140" s="291">
        <v>1547</v>
      </c>
      <c r="E140" s="407" t="s">
        <v>4553</v>
      </c>
      <c r="F140" s="428" t="s">
        <v>5216</v>
      </c>
      <c r="G140" s="409"/>
      <c r="H140" s="410" t="s">
        <v>5539</v>
      </c>
      <c r="I140" s="411">
        <v>15</v>
      </c>
      <c r="J140" s="459" t="s">
        <v>4552</v>
      </c>
      <c r="K140" s="460">
        <v>15</v>
      </c>
      <c r="L140" s="413">
        <v>44287</v>
      </c>
      <c r="M140" s="464" t="s">
        <v>13</v>
      </c>
      <c r="N140" s="415">
        <v>44286</v>
      </c>
      <c r="O140" s="280">
        <v>300000</v>
      </c>
      <c r="P140" s="465">
        <v>300000</v>
      </c>
      <c r="Q140" s="263">
        <f t="shared" si="61"/>
        <v>300000</v>
      </c>
      <c r="R140" s="284"/>
      <c r="S140" s="59">
        <v>300000</v>
      </c>
      <c r="T140" s="466">
        <v>300000</v>
      </c>
      <c r="U140" s="418">
        <v>300000</v>
      </c>
      <c r="V140" s="43"/>
      <c r="W140" s="44"/>
      <c r="X140" s="58" t="s">
        <v>4506</v>
      </c>
      <c r="Y140" s="46"/>
      <c r="Z140" s="46"/>
      <c r="AA140" s="47">
        <f t="shared" si="62"/>
        <v>300000</v>
      </c>
      <c r="AB140" s="48">
        <f t="shared" si="63"/>
        <v>300000</v>
      </c>
      <c r="AC140" s="265"/>
      <c r="AD140" s="424">
        <f t="shared" si="64"/>
        <v>0</v>
      </c>
      <c r="AE140" s="49"/>
      <c r="AF140" s="50"/>
      <c r="AG140" s="50"/>
      <c r="AH140" s="50"/>
      <c r="AI140" s="135"/>
      <c r="AJ140" s="52">
        <f t="shared" si="65"/>
        <v>300000</v>
      </c>
      <c r="AK140" s="462"/>
      <c r="AL140" s="396" t="s">
        <v>5439</v>
      </c>
      <c r="AM140" s="308" t="str">
        <f t="shared" si="50"/>
        <v>1547</v>
      </c>
      <c r="AN140" s="369" t="str">
        <f t="shared" si="59"/>
        <v>1547</v>
      </c>
      <c r="AO140" s="291">
        <v>1547</v>
      </c>
      <c r="AR140" s="47">
        <f t="shared" si="66"/>
        <v>300000</v>
      </c>
      <c r="AS140" s="54"/>
      <c r="AT140" s="55"/>
      <c r="AU140" s="56"/>
      <c r="AV140" s="57" t="e">
        <f>#REF!-#REF!</f>
        <v>#REF!</v>
      </c>
    </row>
    <row r="141" spans="1:56" ht="21.75" customHeight="1" outlineLevel="2">
      <c r="A141" s="291">
        <v>1548</v>
      </c>
      <c r="B141" s="482" t="s">
        <v>4448</v>
      </c>
      <c r="C141" s="458">
        <v>41</v>
      </c>
      <c r="D141" s="291">
        <v>1548</v>
      </c>
      <c r="E141" s="407" t="s">
        <v>4553</v>
      </c>
      <c r="F141" s="428" t="s">
        <v>5216</v>
      </c>
      <c r="G141" s="409"/>
      <c r="H141" s="410" t="s">
        <v>5540</v>
      </c>
      <c r="I141" s="411">
        <v>15</v>
      </c>
      <c r="J141" s="459" t="s">
        <v>4560</v>
      </c>
      <c r="K141" s="460">
        <v>16</v>
      </c>
      <c r="L141" s="413">
        <v>44287</v>
      </c>
      <c r="M141" s="464" t="s">
        <v>13</v>
      </c>
      <c r="N141" s="415">
        <v>44286</v>
      </c>
      <c r="O141" s="280">
        <v>300000</v>
      </c>
      <c r="P141" s="465">
        <v>300000</v>
      </c>
      <c r="Q141" s="263">
        <f t="shared" si="61"/>
        <v>300000</v>
      </c>
      <c r="R141" s="284"/>
      <c r="S141" s="59">
        <v>300000</v>
      </c>
      <c r="T141" s="466">
        <v>300000</v>
      </c>
      <c r="U141" s="418">
        <v>300000</v>
      </c>
      <c r="V141" s="43"/>
      <c r="W141" s="44"/>
      <c r="X141" s="58" t="s">
        <v>4506</v>
      </c>
      <c r="Y141" s="46"/>
      <c r="Z141" s="46"/>
      <c r="AA141" s="47">
        <f t="shared" si="62"/>
        <v>300000</v>
      </c>
      <c r="AB141" s="48">
        <f t="shared" si="63"/>
        <v>300000</v>
      </c>
      <c r="AC141" s="265"/>
      <c r="AD141" s="424">
        <f t="shared" si="64"/>
        <v>0</v>
      </c>
      <c r="AE141" s="49"/>
      <c r="AF141" s="50"/>
      <c r="AG141" s="50"/>
      <c r="AH141" s="50"/>
      <c r="AI141" s="135"/>
      <c r="AJ141" s="52">
        <f t="shared" si="65"/>
        <v>300000</v>
      </c>
      <c r="AK141" s="462"/>
      <c r="AL141" s="396" t="s">
        <v>5439</v>
      </c>
      <c r="AM141" s="308" t="str">
        <f t="shared" si="50"/>
        <v>1548</v>
      </c>
      <c r="AN141" s="369" t="str">
        <f t="shared" si="59"/>
        <v>1548</v>
      </c>
      <c r="AO141" s="291">
        <v>1548</v>
      </c>
      <c r="AR141" s="47">
        <f t="shared" si="66"/>
        <v>0</v>
      </c>
      <c r="AS141" s="54"/>
      <c r="AT141" s="55"/>
      <c r="AU141" s="56"/>
      <c r="AV141" s="57" t="e">
        <f>#REF!-#REF!</f>
        <v>#REF!</v>
      </c>
    </row>
    <row r="142" spans="1:56" s="470" customFormat="1" ht="25.5" hidden="1" customHeight="1" outlineLevel="2">
      <c r="A142" s="463" t="s">
        <v>4454</v>
      </c>
      <c r="B142" s="607" t="s">
        <v>4448</v>
      </c>
      <c r="C142" s="472">
        <v>41</v>
      </c>
      <c r="D142" s="463" t="s">
        <v>4454</v>
      </c>
      <c r="E142" s="473" t="s">
        <v>4553</v>
      </c>
      <c r="F142" s="474" t="s">
        <v>5216</v>
      </c>
      <c r="G142" s="475"/>
      <c r="H142" s="626" t="s">
        <v>4557</v>
      </c>
      <c r="I142" s="476"/>
      <c r="J142" s="477"/>
      <c r="K142" s="437"/>
      <c r="L142" s="627"/>
      <c r="M142" s="464" t="s">
        <v>13</v>
      </c>
      <c r="N142" s="628"/>
      <c r="O142" s="280"/>
      <c r="P142" s="465"/>
      <c r="Q142" s="479"/>
      <c r="R142" s="278"/>
      <c r="S142" s="480"/>
      <c r="T142" s="466"/>
      <c r="U142" s="418"/>
      <c r="V142" s="61"/>
      <c r="W142" s="68"/>
      <c r="X142" s="58" t="s">
        <v>4506</v>
      </c>
      <c r="Y142" s="70"/>
      <c r="Z142" s="70"/>
      <c r="AA142" s="71">
        <f t="shared" si="62"/>
        <v>0</v>
      </c>
      <c r="AB142" s="72">
        <f t="shared" si="63"/>
        <v>0</v>
      </c>
      <c r="AC142" s="267"/>
      <c r="AD142" s="545">
        <f t="shared" si="64"/>
        <v>0</v>
      </c>
      <c r="AE142" s="62"/>
      <c r="AF142" s="73"/>
      <c r="AG142" s="73"/>
      <c r="AH142" s="73"/>
      <c r="AI142" s="178"/>
      <c r="AJ142" s="75">
        <f t="shared" si="65"/>
        <v>0</v>
      </c>
      <c r="AK142" s="467"/>
      <c r="AL142" s="546"/>
      <c r="AM142" s="468" t="str">
        <f t="shared" si="50"/>
        <v/>
      </c>
      <c r="AN142" s="469" t="str">
        <f t="shared" si="59"/>
        <v/>
      </c>
      <c r="AO142" s="463" t="s">
        <v>4454</v>
      </c>
      <c r="AP142" s="463"/>
      <c r="AR142" s="71">
        <f t="shared" si="66"/>
        <v>2000000</v>
      </c>
      <c r="AS142" s="64"/>
      <c r="AT142" s="65"/>
      <c r="AU142" s="66"/>
      <c r="AV142" s="67" t="e">
        <f>#REF!-#REF!</f>
        <v>#REF!</v>
      </c>
    </row>
    <row r="143" spans="1:56" ht="25.5" customHeight="1" outlineLevel="2">
      <c r="A143" s="291">
        <v>2141</v>
      </c>
      <c r="B143" s="482" t="s">
        <v>4459</v>
      </c>
      <c r="C143" s="458">
        <v>41</v>
      </c>
      <c r="D143" s="291">
        <v>2141</v>
      </c>
      <c r="E143" s="407" t="s">
        <v>4460</v>
      </c>
      <c r="F143" s="428" t="s">
        <v>5216</v>
      </c>
      <c r="G143" s="409">
        <v>45</v>
      </c>
      <c r="H143" s="410" t="s">
        <v>5541</v>
      </c>
      <c r="I143" s="411">
        <v>21</v>
      </c>
      <c r="J143" s="459" t="s">
        <v>4526</v>
      </c>
      <c r="K143" s="460">
        <v>53</v>
      </c>
      <c r="L143" s="413">
        <v>44493</v>
      </c>
      <c r="M143" s="464" t="s">
        <v>13</v>
      </c>
      <c r="N143" s="415">
        <v>44514</v>
      </c>
      <c r="O143" s="280">
        <v>2000000</v>
      </c>
      <c r="P143" s="465">
        <v>2000000</v>
      </c>
      <c r="Q143" s="263">
        <f t="shared" ref="Q143:Q155" si="67">R143+S143</f>
        <v>2000000</v>
      </c>
      <c r="R143" s="284">
        <v>200000</v>
      </c>
      <c r="S143" s="59">
        <v>1800000</v>
      </c>
      <c r="T143" s="466">
        <v>2000000</v>
      </c>
      <c r="U143" s="418">
        <v>2000000</v>
      </c>
      <c r="V143" s="43"/>
      <c r="W143" s="44"/>
      <c r="X143" s="58" t="s">
        <v>4506</v>
      </c>
      <c r="Y143" s="46"/>
      <c r="Z143" s="46"/>
      <c r="AA143" s="47">
        <f t="shared" si="62"/>
        <v>2780000</v>
      </c>
      <c r="AB143" s="48">
        <f t="shared" si="63"/>
        <v>2580000</v>
      </c>
      <c r="AC143" s="265"/>
      <c r="AD143" s="424">
        <f t="shared" si="64"/>
        <v>780000</v>
      </c>
      <c r="AE143" s="49">
        <v>780000</v>
      </c>
      <c r="AF143" s="50"/>
      <c r="AG143" s="50"/>
      <c r="AH143" s="50"/>
      <c r="AI143" s="51"/>
      <c r="AJ143" s="52">
        <f t="shared" si="65"/>
        <v>1800000</v>
      </c>
      <c r="AK143" s="462"/>
      <c r="AL143" s="396" t="s">
        <v>5456</v>
      </c>
      <c r="AM143" s="308" t="str">
        <f t="shared" si="50"/>
        <v>2141</v>
      </c>
      <c r="AN143" s="369" t="str">
        <f t="shared" si="59"/>
        <v>2141</v>
      </c>
      <c r="AO143" s="291">
        <v>2141</v>
      </c>
      <c r="AR143" s="47">
        <f>U144+AE143</f>
        <v>4080000</v>
      </c>
      <c r="AS143" s="54"/>
      <c r="AT143" s="55"/>
      <c r="AU143" s="179"/>
      <c r="AV143" s="57" t="e">
        <f>#REF!-#REF!</f>
        <v>#REF!</v>
      </c>
    </row>
    <row r="144" spans="1:56" ht="25.5" customHeight="1" outlineLevel="2">
      <c r="A144" s="291">
        <v>2142</v>
      </c>
      <c r="B144" s="482" t="s">
        <v>4459</v>
      </c>
      <c r="C144" s="458">
        <v>41</v>
      </c>
      <c r="D144" s="291">
        <v>2142</v>
      </c>
      <c r="E144" s="407" t="s">
        <v>4558</v>
      </c>
      <c r="F144" s="428" t="s">
        <v>5216</v>
      </c>
      <c r="G144" s="409">
        <v>15</v>
      </c>
      <c r="H144" s="410" t="s">
        <v>5542</v>
      </c>
      <c r="I144" s="411">
        <v>21</v>
      </c>
      <c r="J144" s="459" t="s">
        <v>4538</v>
      </c>
      <c r="K144" s="460">
        <v>54</v>
      </c>
      <c r="L144" s="413">
        <v>44287</v>
      </c>
      <c r="M144" s="464" t="s">
        <v>13</v>
      </c>
      <c r="N144" s="415">
        <v>44472</v>
      </c>
      <c r="O144" s="280">
        <v>3300000</v>
      </c>
      <c r="P144" s="465">
        <v>3300000</v>
      </c>
      <c r="Q144" s="263">
        <f t="shared" si="67"/>
        <v>3300000</v>
      </c>
      <c r="R144" s="629">
        <v>300000</v>
      </c>
      <c r="S144" s="59">
        <v>3000000</v>
      </c>
      <c r="T144" s="466">
        <v>3300000</v>
      </c>
      <c r="U144" s="418">
        <v>3300000</v>
      </c>
      <c r="V144" s="43"/>
      <c r="W144" s="44"/>
      <c r="X144" s="58" t="s">
        <v>4506</v>
      </c>
      <c r="Y144" s="46"/>
      <c r="Z144" s="46"/>
      <c r="AA144" s="47">
        <f t="shared" si="62"/>
        <v>3300000</v>
      </c>
      <c r="AB144" s="48">
        <f t="shared" si="63"/>
        <v>3000000</v>
      </c>
      <c r="AC144" s="265"/>
      <c r="AD144" s="424">
        <f t="shared" si="64"/>
        <v>0</v>
      </c>
      <c r="AE144" s="49"/>
      <c r="AF144" s="50"/>
      <c r="AG144" s="50"/>
      <c r="AH144" s="50"/>
      <c r="AI144" s="51"/>
      <c r="AJ144" s="52">
        <f t="shared" si="65"/>
        <v>3000000</v>
      </c>
      <c r="AK144" s="462"/>
      <c r="AL144" s="396" t="s">
        <v>5456</v>
      </c>
      <c r="AM144" s="308" t="str">
        <f t="shared" ref="AM144:AM172" si="68">I144&amp;J144</f>
        <v>2142</v>
      </c>
      <c r="AN144" s="369" t="str">
        <f t="shared" si="59"/>
        <v>2142</v>
      </c>
      <c r="AO144" s="291">
        <v>2142</v>
      </c>
      <c r="AR144" s="47">
        <f>U145+AB144-AJ144</f>
        <v>1600000</v>
      </c>
      <c r="AS144" s="54"/>
      <c r="AT144" s="55"/>
      <c r="AU144" s="56"/>
      <c r="AV144" s="57" t="e">
        <f>BD144-#REF!</f>
        <v>#REF!</v>
      </c>
      <c r="BD144" s="180">
        <v>3500000</v>
      </c>
    </row>
    <row r="145" spans="1:56" ht="25.5" customHeight="1" outlineLevel="2">
      <c r="A145" s="291">
        <v>2143</v>
      </c>
      <c r="B145" s="482" t="s">
        <v>4459</v>
      </c>
      <c r="C145" s="458">
        <v>41</v>
      </c>
      <c r="D145" s="291">
        <v>2143</v>
      </c>
      <c r="E145" s="407" t="s">
        <v>4558</v>
      </c>
      <c r="F145" s="428" t="s">
        <v>5216</v>
      </c>
      <c r="G145" s="409">
        <v>15</v>
      </c>
      <c r="H145" s="410" t="s">
        <v>5543</v>
      </c>
      <c r="I145" s="411">
        <v>21</v>
      </c>
      <c r="J145" s="459" t="s">
        <v>4462</v>
      </c>
      <c r="K145" s="460">
        <v>55</v>
      </c>
      <c r="L145" s="413">
        <v>44523</v>
      </c>
      <c r="M145" s="464" t="s">
        <v>13</v>
      </c>
      <c r="N145" s="415">
        <v>44542</v>
      </c>
      <c r="O145" s="280">
        <v>1600000</v>
      </c>
      <c r="P145" s="465">
        <v>1600000</v>
      </c>
      <c r="Q145" s="263">
        <f t="shared" si="67"/>
        <v>1600000</v>
      </c>
      <c r="R145" s="629"/>
      <c r="S145" s="59">
        <v>1600000</v>
      </c>
      <c r="T145" s="466">
        <v>1600000</v>
      </c>
      <c r="U145" s="418">
        <v>1600000</v>
      </c>
      <c r="V145" s="43"/>
      <c r="W145" s="44"/>
      <c r="X145" s="58" t="s">
        <v>4506</v>
      </c>
      <c r="Y145" s="46"/>
      <c r="Z145" s="46"/>
      <c r="AA145" s="47">
        <f t="shared" si="62"/>
        <v>2120000</v>
      </c>
      <c r="AB145" s="48">
        <f t="shared" si="63"/>
        <v>2120000</v>
      </c>
      <c r="AC145" s="265"/>
      <c r="AD145" s="424">
        <f t="shared" si="64"/>
        <v>520000</v>
      </c>
      <c r="AE145" s="49">
        <v>520000</v>
      </c>
      <c r="AF145" s="50"/>
      <c r="AG145" s="50"/>
      <c r="AH145" s="50"/>
      <c r="AI145" s="51"/>
      <c r="AJ145" s="52">
        <f t="shared" si="65"/>
        <v>1600000</v>
      </c>
      <c r="AK145" s="462"/>
      <c r="AL145" s="396" t="s">
        <v>5439</v>
      </c>
      <c r="AM145" s="308" t="str">
        <f t="shared" si="68"/>
        <v>2143</v>
      </c>
      <c r="AN145" s="369" t="str">
        <f t="shared" si="59"/>
        <v>2143</v>
      </c>
      <c r="AO145" s="291">
        <v>2143</v>
      </c>
      <c r="AR145" s="47">
        <f>U146+AB145-AJ145</f>
        <v>2020000</v>
      </c>
      <c r="AS145" s="54"/>
      <c r="AT145" s="55"/>
      <c r="AU145" s="56"/>
      <c r="AV145" s="57" t="e">
        <f>BD145-#REF!</f>
        <v>#REF!</v>
      </c>
      <c r="BD145" s="180">
        <v>3500000</v>
      </c>
    </row>
    <row r="146" spans="1:56" ht="25.5" customHeight="1" outlineLevel="2">
      <c r="A146" s="291">
        <v>2144</v>
      </c>
      <c r="B146" s="482" t="s">
        <v>4459</v>
      </c>
      <c r="C146" s="458">
        <v>41</v>
      </c>
      <c r="D146" s="291">
        <v>2144</v>
      </c>
      <c r="E146" s="407" t="s">
        <v>4558</v>
      </c>
      <c r="F146" s="428" t="s">
        <v>5216</v>
      </c>
      <c r="G146" s="409"/>
      <c r="H146" s="410" t="s">
        <v>5544</v>
      </c>
      <c r="I146" s="411">
        <v>21</v>
      </c>
      <c r="J146" s="459" t="s">
        <v>4463</v>
      </c>
      <c r="K146" s="460">
        <v>56</v>
      </c>
      <c r="L146" s="413">
        <v>44470</v>
      </c>
      <c r="M146" s="464" t="s">
        <v>13</v>
      </c>
      <c r="N146" s="415">
        <v>44238</v>
      </c>
      <c r="O146" s="280">
        <v>1500000</v>
      </c>
      <c r="P146" s="465">
        <v>1500000</v>
      </c>
      <c r="Q146" s="263">
        <f t="shared" si="67"/>
        <v>1500000</v>
      </c>
      <c r="R146" s="284">
        <v>200000</v>
      </c>
      <c r="S146" s="59">
        <v>1300000</v>
      </c>
      <c r="T146" s="466">
        <v>1500000</v>
      </c>
      <c r="U146" s="418">
        <v>1500000</v>
      </c>
      <c r="V146" s="43"/>
      <c r="W146" s="44"/>
      <c r="X146" s="58" t="s">
        <v>4506</v>
      </c>
      <c r="Y146" s="46"/>
      <c r="Z146" s="46"/>
      <c r="AA146" s="47">
        <f t="shared" si="62"/>
        <v>1660000</v>
      </c>
      <c r="AB146" s="48">
        <f t="shared" si="63"/>
        <v>1460000</v>
      </c>
      <c r="AC146" s="265"/>
      <c r="AD146" s="424">
        <f t="shared" si="64"/>
        <v>160000</v>
      </c>
      <c r="AE146" s="49">
        <v>160000</v>
      </c>
      <c r="AF146" s="50"/>
      <c r="AG146" s="50"/>
      <c r="AH146" s="50"/>
      <c r="AI146" s="51"/>
      <c r="AJ146" s="52">
        <f t="shared" si="65"/>
        <v>1300000</v>
      </c>
      <c r="AK146" s="462"/>
      <c r="AL146" s="396" t="s">
        <v>5456</v>
      </c>
      <c r="AM146" s="308" t="str">
        <f t="shared" si="68"/>
        <v>2144</v>
      </c>
      <c r="AN146" s="369" t="str">
        <f t="shared" si="59"/>
        <v>2144</v>
      </c>
      <c r="AO146" s="291">
        <v>2144</v>
      </c>
      <c r="AR146" s="47">
        <f>U147+AB146</f>
        <v>2660000</v>
      </c>
      <c r="AS146" s="54"/>
      <c r="AT146" s="55"/>
      <c r="AU146" s="56"/>
      <c r="AV146" s="57" t="e">
        <f>#REF!-#REF!</f>
        <v>#REF!</v>
      </c>
    </row>
    <row r="147" spans="1:56" ht="25.5" customHeight="1" outlineLevel="2">
      <c r="A147" s="291">
        <v>2145</v>
      </c>
      <c r="B147" s="482" t="s">
        <v>4459</v>
      </c>
      <c r="C147" s="458">
        <v>41</v>
      </c>
      <c r="D147" s="291">
        <v>2145</v>
      </c>
      <c r="E147" s="407" t="s">
        <v>4558</v>
      </c>
      <c r="F147" s="428" t="s">
        <v>5216</v>
      </c>
      <c r="G147" s="409">
        <v>45</v>
      </c>
      <c r="H147" s="410" t="s">
        <v>5545</v>
      </c>
      <c r="I147" s="411">
        <v>21</v>
      </c>
      <c r="J147" s="459" t="s">
        <v>4547</v>
      </c>
      <c r="K147" s="460">
        <v>57</v>
      </c>
      <c r="L147" s="413">
        <v>44287</v>
      </c>
      <c r="M147" s="464" t="s">
        <v>13</v>
      </c>
      <c r="N147" s="415">
        <v>44374</v>
      </c>
      <c r="O147" s="280">
        <v>1200000</v>
      </c>
      <c r="P147" s="465">
        <v>1200000</v>
      </c>
      <c r="Q147" s="263">
        <f>R147+S147</f>
        <v>1200000</v>
      </c>
      <c r="R147" s="284"/>
      <c r="S147" s="59">
        <v>1200000</v>
      </c>
      <c r="T147" s="466">
        <v>1200000</v>
      </c>
      <c r="U147" s="418">
        <v>1200000</v>
      </c>
      <c r="V147" s="43"/>
      <c r="W147" s="44"/>
      <c r="X147" s="58" t="s">
        <v>4506</v>
      </c>
      <c r="Y147" s="46"/>
      <c r="Z147" s="46"/>
      <c r="AA147" s="47">
        <f t="shared" si="62"/>
        <v>1360000</v>
      </c>
      <c r="AB147" s="48">
        <f t="shared" si="63"/>
        <v>1360000</v>
      </c>
      <c r="AC147" s="265"/>
      <c r="AD147" s="424">
        <f t="shared" si="64"/>
        <v>160000</v>
      </c>
      <c r="AE147" s="49">
        <v>160000</v>
      </c>
      <c r="AF147" s="50"/>
      <c r="AG147" s="50"/>
      <c r="AH147" s="50"/>
      <c r="AI147" s="51"/>
      <c r="AJ147" s="52">
        <f t="shared" si="65"/>
        <v>1200000</v>
      </c>
      <c r="AK147" s="462"/>
      <c r="AL147" s="396" t="s">
        <v>5439</v>
      </c>
      <c r="AM147" s="308" t="str">
        <f t="shared" si="68"/>
        <v>2145</v>
      </c>
      <c r="AN147" s="369" t="str">
        <f t="shared" si="59"/>
        <v>2145</v>
      </c>
      <c r="AO147" s="291">
        <v>2145</v>
      </c>
      <c r="AR147" s="47"/>
      <c r="AS147" s="54"/>
      <c r="AT147" s="55"/>
      <c r="AU147" s="56"/>
      <c r="AV147" s="57" t="e">
        <f>#REF!-#REF!</f>
        <v>#REF!</v>
      </c>
    </row>
    <row r="148" spans="1:56" ht="25.5" customHeight="1" outlineLevel="2">
      <c r="A148" s="291">
        <v>2146</v>
      </c>
      <c r="B148" s="482" t="s">
        <v>4459</v>
      </c>
      <c r="C148" s="458">
        <v>41</v>
      </c>
      <c r="D148" s="291">
        <v>2146</v>
      </c>
      <c r="E148" s="407" t="s">
        <v>4558</v>
      </c>
      <c r="F148" s="428" t="s">
        <v>5216</v>
      </c>
      <c r="G148" s="409"/>
      <c r="H148" s="410" t="s">
        <v>5546</v>
      </c>
      <c r="I148" s="411">
        <v>21</v>
      </c>
      <c r="J148" s="459" t="s">
        <v>4549</v>
      </c>
      <c r="K148" s="460">
        <v>11</v>
      </c>
      <c r="L148" s="413">
        <v>44287</v>
      </c>
      <c r="M148" s="464" t="s">
        <v>13</v>
      </c>
      <c r="N148" s="415">
        <v>44286</v>
      </c>
      <c r="O148" s="280">
        <v>500000</v>
      </c>
      <c r="P148" s="465">
        <v>1050000</v>
      </c>
      <c r="Q148" s="263">
        <f t="shared" si="67"/>
        <v>1000000</v>
      </c>
      <c r="R148" s="630"/>
      <c r="S148" s="59">
        <v>1000000</v>
      </c>
      <c r="T148" s="466">
        <v>1050000</v>
      </c>
      <c r="U148" s="418">
        <v>1000000</v>
      </c>
      <c r="V148" s="43"/>
      <c r="W148" s="44"/>
      <c r="X148" s="58" t="s">
        <v>4506</v>
      </c>
      <c r="Y148" s="46"/>
      <c r="Z148" s="46"/>
      <c r="AA148" s="47">
        <f t="shared" si="62"/>
        <v>1050000</v>
      </c>
      <c r="AB148" s="48">
        <f t="shared" si="63"/>
        <v>1050000</v>
      </c>
      <c r="AC148" s="265"/>
      <c r="AD148" s="424">
        <f t="shared" si="64"/>
        <v>50000</v>
      </c>
      <c r="AE148" s="49"/>
      <c r="AF148" s="50"/>
      <c r="AG148" s="50"/>
      <c r="AH148" s="50"/>
      <c r="AI148" s="51">
        <v>50000</v>
      </c>
      <c r="AJ148" s="52">
        <f t="shared" si="65"/>
        <v>1000000</v>
      </c>
      <c r="AK148" s="462"/>
      <c r="AL148" s="396" t="s">
        <v>5547</v>
      </c>
      <c r="AM148" s="308" t="str">
        <f t="shared" si="68"/>
        <v>2146</v>
      </c>
      <c r="AN148" s="369" t="str">
        <f t="shared" si="59"/>
        <v>2146</v>
      </c>
      <c r="AO148" s="291">
        <v>2146</v>
      </c>
      <c r="AR148" s="47">
        <f>U149+AB148-AJ148</f>
        <v>1200000</v>
      </c>
      <c r="AS148" s="54"/>
      <c r="AT148" s="55"/>
      <c r="AU148" s="56"/>
      <c r="AV148" s="282" t="e">
        <f>BD148-#REF!</f>
        <v>#REF!</v>
      </c>
      <c r="BD148" s="180"/>
    </row>
    <row r="149" spans="1:56" ht="24" customHeight="1" outlineLevel="2">
      <c r="A149" s="291">
        <v>2147</v>
      </c>
      <c r="B149" s="482" t="s">
        <v>4459</v>
      </c>
      <c r="C149" s="458">
        <v>41</v>
      </c>
      <c r="D149" s="291">
        <v>2147</v>
      </c>
      <c r="E149" s="407" t="s">
        <v>4558</v>
      </c>
      <c r="F149" s="428" t="s">
        <v>5216</v>
      </c>
      <c r="G149" s="409"/>
      <c r="H149" s="410" t="s">
        <v>5548</v>
      </c>
      <c r="I149" s="411">
        <v>21</v>
      </c>
      <c r="J149" s="459" t="s">
        <v>4552</v>
      </c>
      <c r="K149" s="460">
        <v>12</v>
      </c>
      <c r="L149" s="413">
        <v>44287</v>
      </c>
      <c r="M149" s="464" t="s">
        <v>13</v>
      </c>
      <c r="N149" s="415">
        <v>44286</v>
      </c>
      <c r="O149" s="280">
        <v>1100000</v>
      </c>
      <c r="P149" s="465">
        <v>1150000</v>
      </c>
      <c r="Q149" s="263">
        <f t="shared" si="67"/>
        <v>1150000</v>
      </c>
      <c r="R149" s="630"/>
      <c r="S149" s="59">
        <v>1150000</v>
      </c>
      <c r="T149" s="466">
        <v>1150000</v>
      </c>
      <c r="U149" s="418">
        <v>1150000</v>
      </c>
      <c r="V149" s="43"/>
      <c r="W149" s="44"/>
      <c r="X149" s="58" t="s">
        <v>4506</v>
      </c>
      <c r="Y149" s="46"/>
      <c r="Z149" s="46"/>
      <c r="AA149" s="47">
        <f t="shared" si="62"/>
        <v>1150000</v>
      </c>
      <c r="AB149" s="48">
        <f t="shared" si="63"/>
        <v>1150000</v>
      </c>
      <c r="AC149" s="265"/>
      <c r="AD149" s="424">
        <f t="shared" si="64"/>
        <v>0</v>
      </c>
      <c r="AE149" s="49"/>
      <c r="AF149" s="50"/>
      <c r="AG149" s="50"/>
      <c r="AH149" s="50"/>
      <c r="AI149" s="51"/>
      <c r="AJ149" s="52">
        <f t="shared" si="65"/>
        <v>1150000</v>
      </c>
      <c r="AK149" s="462"/>
      <c r="AL149" s="396" t="s">
        <v>5439</v>
      </c>
      <c r="AM149" s="308" t="str">
        <f t="shared" si="68"/>
        <v>2147</v>
      </c>
      <c r="AN149" s="369" t="str">
        <f t="shared" si="59"/>
        <v>2147</v>
      </c>
      <c r="AO149" s="291">
        <v>2147</v>
      </c>
      <c r="AR149" s="47">
        <f>U150+AB149-AJ149</f>
        <v>0</v>
      </c>
      <c r="AS149" s="54"/>
      <c r="AT149" s="55"/>
      <c r="AU149" s="56"/>
      <c r="AV149" s="282" t="e">
        <f>BD149-#REF!</f>
        <v>#REF!</v>
      </c>
      <c r="BD149" s="180"/>
    </row>
    <row r="150" spans="1:56" s="470" customFormat="1" ht="25.5" hidden="1" customHeight="1" outlineLevel="2">
      <c r="A150" s="463" t="s">
        <v>4454</v>
      </c>
      <c r="B150" s="607" t="s">
        <v>4459</v>
      </c>
      <c r="C150" s="472">
        <v>41</v>
      </c>
      <c r="D150" s="463" t="s">
        <v>4454</v>
      </c>
      <c r="E150" s="407" t="s">
        <v>4558</v>
      </c>
      <c r="F150" s="474" t="s">
        <v>5216</v>
      </c>
      <c r="G150" s="475"/>
      <c r="H150" s="486" t="s">
        <v>5549</v>
      </c>
      <c r="I150" s="476"/>
      <c r="J150" s="477"/>
      <c r="K150" s="437"/>
      <c r="L150" s="487"/>
      <c r="M150" s="464" t="s">
        <v>13</v>
      </c>
      <c r="N150" s="488"/>
      <c r="O150" s="280">
        <v>0</v>
      </c>
      <c r="P150" s="465"/>
      <c r="Q150" s="263">
        <f t="shared" si="67"/>
        <v>0</v>
      </c>
      <c r="R150" s="278"/>
      <c r="S150" s="279"/>
      <c r="T150" s="466"/>
      <c r="U150" s="418">
        <v>0</v>
      </c>
      <c r="V150" s="61"/>
      <c r="W150" s="68"/>
      <c r="X150" s="79"/>
      <c r="Y150" s="70"/>
      <c r="Z150" s="70"/>
      <c r="AA150" s="71">
        <f t="shared" si="62"/>
        <v>0</v>
      </c>
      <c r="AB150" s="166">
        <f t="shared" si="63"/>
        <v>0</v>
      </c>
      <c r="AC150" s="281"/>
      <c r="AD150" s="545">
        <f t="shared" si="64"/>
        <v>0</v>
      </c>
      <c r="AE150" s="62"/>
      <c r="AF150" s="73"/>
      <c r="AG150" s="73"/>
      <c r="AH150" s="73"/>
      <c r="AI150" s="74"/>
      <c r="AJ150" s="75">
        <f t="shared" si="65"/>
        <v>0</v>
      </c>
      <c r="AK150" s="467"/>
      <c r="AL150" s="481"/>
      <c r="AM150" s="468" t="str">
        <f t="shared" si="68"/>
        <v/>
      </c>
      <c r="AN150" s="469" t="str">
        <f t="shared" si="59"/>
        <v/>
      </c>
      <c r="AO150" s="463" t="s">
        <v>4454</v>
      </c>
      <c r="AP150" s="463"/>
      <c r="AR150" s="71"/>
      <c r="AS150" s="64"/>
      <c r="AT150" s="65"/>
      <c r="AU150" s="66"/>
      <c r="AV150" s="67" t="e">
        <f>#REF!-#REF!</f>
        <v>#REF!</v>
      </c>
    </row>
    <row r="151" spans="1:56" customFormat="1" ht="25.5" customHeight="1" outlineLevel="2">
      <c r="A151" s="542">
        <v>2148</v>
      </c>
      <c r="B151" s="482" t="s">
        <v>4459</v>
      </c>
      <c r="C151" s="458" t="s">
        <v>4526</v>
      </c>
      <c r="D151" s="542">
        <v>2148</v>
      </c>
      <c r="E151" s="407" t="s">
        <v>4558</v>
      </c>
      <c r="F151" s="428" t="s">
        <v>5216</v>
      </c>
      <c r="G151" s="409">
        <v>33</v>
      </c>
      <c r="H151" s="429" t="s">
        <v>4559</v>
      </c>
      <c r="I151" s="411">
        <v>21</v>
      </c>
      <c r="J151" s="459" t="s">
        <v>4560</v>
      </c>
      <c r="K151" s="437"/>
      <c r="L151" s="413">
        <v>44287</v>
      </c>
      <c r="M151" s="464" t="s">
        <v>13</v>
      </c>
      <c r="N151" s="415">
        <v>44286</v>
      </c>
      <c r="O151" s="280">
        <v>100000</v>
      </c>
      <c r="P151" s="465">
        <v>200000</v>
      </c>
      <c r="Q151" s="263">
        <f t="shared" si="67"/>
        <v>100000</v>
      </c>
      <c r="R151" s="284">
        <v>100000</v>
      </c>
      <c r="S151" s="285"/>
      <c r="T151" s="466">
        <v>200000</v>
      </c>
      <c r="U151" s="418">
        <v>100000</v>
      </c>
      <c r="V151" s="43"/>
      <c r="W151" s="44"/>
      <c r="X151" s="45">
        <v>43200</v>
      </c>
      <c r="Y151" s="46"/>
      <c r="Z151" s="46"/>
      <c r="AA151" s="129">
        <f t="shared" si="62"/>
        <v>200000</v>
      </c>
      <c r="AB151" s="48">
        <f t="shared" si="63"/>
        <v>100000</v>
      </c>
      <c r="AC151" s="265"/>
      <c r="AD151" s="424">
        <f t="shared" si="64"/>
        <v>100000</v>
      </c>
      <c r="AE151" s="266"/>
      <c r="AF151" s="50"/>
      <c r="AG151" s="50"/>
      <c r="AH151" s="50"/>
      <c r="AI151" s="51">
        <v>100000</v>
      </c>
      <c r="AJ151" s="52">
        <f t="shared" si="65"/>
        <v>0</v>
      </c>
      <c r="AK151" s="462"/>
      <c r="AL151" s="442"/>
      <c r="AM151" s="308" t="str">
        <f t="shared" si="68"/>
        <v>2148</v>
      </c>
      <c r="AN151" s="369" t="str">
        <f t="shared" si="59"/>
        <v>2148</v>
      </c>
      <c r="AO151" s="542">
        <v>2148</v>
      </c>
      <c r="AP151" s="542"/>
      <c r="AR151" s="130"/>
      <c r="AS151" s="54"/>
      <c r="AT151" s="55"/>
      <c r="AU151" s="41"/>
      <c r="AV151" s="57" t="e">
        <f>#REF!-#REF!</f>
        <v>#REF!</v>
      </c>
    </row>
    <row r="152" spans="1:56" customFormat="1" ht="25.5" customHeight="1" outlineLevel="2">
      <c r="A152" s="542">
        <v>2149</v>
      </c>
      <c r="B152" s="482" t="s">
        <v>4459</v>
      </c>
      <c r="C152" s="458">
        <v>41</v>
      </c>
      <c r="D152" s="542">
        <v>2149</v>
      </c>
      <c r="E152" s="407" t="s">
        <v>4558</v>
      </c>
      <c r="F152" s="428" t="s">
        <v>5216</v>
      </c>
      <c r="G152" s="409">
        <v>19</v>
      </c>
      <c r="H152" s="410" t="s">
        <v>5550</v>
      </c>
      <c r="I152" s="411">
        <v>21</v>
      </c>
      <c r="J152" s="459" t="s">
        <v>5551</v>
      </c>
      <c r="K152" s="460">
        <v>58</v>
      </c>
      <c r="L152" s="413">
        <v>44287</v>
      </c>
      <c r="M152" s="464" t="s">
        <v>13</v>
      </c>
      <c r="N152" s="415">
        <v>44286</v>
      </c>
      <c r="O152" s="280">
        <v>380000</v>
      </c>
      <c r="P152" s="465">
        <v>500000</v>
      </c>
      <c r="Q152" s="263">
        <f t="shared" si="67"/>
        <v>380000</v>
      </c>
      <c r="R152" s="284"/>
      <c r="S152" s="59">
        <v>380000</v>
      </c>
      <c r="T152" s="466">
        <v>500000</v>
      </c>
      <c r="U152" s="418">
        <v>380000</v>
      </c>
      <c r="V152" s="43"/>
      <c r="W152" s="44"/>
      <c r="X152" s="58" t="s">
        <v>4506</v>
      </c>
      <c r="Y152" s="46"/>
      <c r="Z152" s="46"/>
      <c r="AA152" s="47">
        <f t="shared" si="62"/>
        <v>500000</v>
      </c>
      <c r="AB152" s="181">
        <f t="shared" si="63"/>
        <v>500000</v>
      </c>
      <c r="AC152" s="283"/>
      <c r="AD152" s="424">
        <f t="shared" si="64"/>
        <v>120000</v>
      </c>
      <c r="AE152" s="266"/>
      <c r="AF152" s="50"/>
      <c r="AG152" s="50"/>
      <c r="AH152" s="50"/>
      <c r="AI152" s="51">
        <v>120000</v>
      </c>
      <c r="AJ152" s="52">
        <f t="shared" si="65"/>
        <v>380000</v>
      </c>
      <c r="AK152" s="462"/>
      <c r="AL152" s="396" t="s">
        <v>5439</v>
      </c>
      <c r="AM152" s="308" t="str">
        <f t="shared" si="68"/>
        <v>2149</v>
      </c>
      <c r="AN152" s="369" t="str">
        <f t="shared" si="59"/>
        <v>2149</v>
      </c>
      <c r="AO152" s="542">
        <v>2149</v>
      </c>
      <c r="AP152" s="542"/>
      <c r="AR152" s="168"/>
      <c r="AS152" s="54"/>
      <c r="AT152" s="55"/>
      <c r="AU152" s="41"/>
      <c r="AV152" s="182" t="e">
        <f>#REF!-#REF!</f>
        <v>#REF!</v>
      </c>
    </row>
    <row r="153" spans="1:56" customFormat="1" ht="25.5" customHeight="1" outlineLevel="2">
      <c r="A153" s="542">
        <v>2241</v>
      </c>
      <c r="B153" s="631" t="s">
        <v>4459</v>
      </c>
      <c r="C153" s="632" t="s">
        <v>4526</v>
      </c>
      <c r="D153" s="542">
        <v>2241</v>
      </c>
      <c r="E153" s="633" t="s">
        <v>4603</v>
      </c>
      <c r="F153" s="634" t="s">
        <v>5216</v>
      </c>
      <c r="G153" s="635"/>
      <c r="H153" s="636" t="s">
        <v>5552</v>
      </c>
      <c r="I153" s="637">
        <v>22</v>
      </c>
      <c r="J153" s="638" t="s">
        <v>4526</v>
      </c>
      <c r="K153" s="639"/>
      <c r="L153" s="640">
        <v>44274</v>
      </c>
      <c r="M153" s="641" t="s">
        <v>13</v>
      </c>
      <c r="N153" s="642">
        <v>44275</v>
      </c>
      <c r="O153" s="643">
        <v>0</v>
      </c>
      <c r="P153" s="644">
        <v>500000</v>
      </c>
      <c r="Q153" s="645">
        <f t="shared" si="67"/>
        <v>700000</v>
      </c>
      <c r="R153" s="646">
        <v>500000</v>
      </c>
      <c r="S153" s="441">
        <v>200000</v>
      </c>
      <c r="T153" s="647">
        <v>500000</v>
      </c>
      <c r="U153" s="648">
        <v>0</v>
      </c>
      <c r="V153" s="649"/>
      <c r="W153" s="650"/>
      <c r="X153" s="651">
        <f>+N153+14</f>
        <v>44289</v>
      </c>
      <c r="Y153" s="652"/>
      <c r="Z153" s="652"/>
      <c r="AA153" s="653">
        <f t="shared" si="62"/>
        <v>1760000</v>
      </c>
      <c r="AB153" s="654">
        <f t="shared" si="63"/>
        <v>1260000</v>
      </c>
      <c r="AC153" s="655"/>
      <c r="AD153" s="656">
        <f t="shared" si="64"/>
        <v>1060000</v>
      </c>
      <c r="AE153" s="657">
        <v>160000</v>
      </c>
      <c r="AF153" s="658"/>
      <c r="AG153" s="658"/>
      <c r="AH153" s="658">
        <v>900000</v>
      </c>
      <c r="AI153" s="659"/>
      <c r="AJ153" s="660">
        <f t="shared" si="65"/>
        <v>200000</v>
      </c>
      <c r="AK153" s="661"/>
      <c r="AL153" s="662" t="s">
        <v>5222</v>
      </c>
      <c r="AM153" s="308" t="str">
        <f t="shared" si="68"/>
        <v>2241</v>
      </c>
      <c r="AN153" s="369" t="str">
        <f t="shared" si="59"/>
        <v>2241</v>
      </c>
      <c r="AO153" s="542">
        <v>2241</v>
      </c>
      <c r="AP153" s="542"/>
      <c r="AR153" s="130"/>
      <c r="AS153" s="54"/>
      <c r="AT153" s="55"/>
      <c r="AU153" s="41"/>
      <c r="AV153" s="57" t="e">
        <f>#REF!-#REF!</f>
        <v>#REF!</v>
      </c>
    </row>
    <row r="154" spans="1:56" s="470" customFormat="1" ht="25.5" customHeight="1" outlineLevel="2">
      <c r="A154" s="463" t="s">
        <v>4454</v>
      </c>
      <c r="B154" s="485"/>
      <c r="C154" s="472" t="s">
        <v>4526</v>
      </c>
      <c r="D154" s="463" t="s">
        <v>4454</v>
      </c>
      <c r="E154" s="473"/>
      <c r="F154" s="474" t="s">
        <v>5216</v>
      </c>
      <c r="G154" s="475"/>
      <c r="H154" s="486"/>
      <c r="I154" s="476"/>
      <c r="J154" s="477"/>
      <c r="K154" s="437"/>
      <c r="L154" s="487"/>
      <c r="M154" s="464" t="s">
        <v>13</v>
      </c>
      <c r="N154" s="488"/>
      <c r="O154" s="280">
        <v>0</v>
      </c>
      <c r="P154" s="465"/>
      <c r="Q154" s="263">
        <f t="shared" si="67"/>
        <v>0</v>
      </c>
      <c r="R154" s="278"/>
      <c r="S154" s="279"/>
      <c r="T154" s="466"/>
      <c r="U154" s="418"/>
      <c r="V154" s="61"/>
      <c r="W154" s="68"/>
      <c r="X154" s="79"/>
      <c r="Y154" s="70"/>
      <c r="Z154" s="70"/>
      <c r="AA154" s="63">
        <f t="shared" si="62"/>
        <v>0</v>
      </c>
      <c r="AB154" s="72"/>
      <c r="AC154" s="267"/>
      <c r="AD154" s="545">
        <f t="shared" si="64"/>
        <v>0</v>
      </c>
      <c r="AE154" s="62"/>
      <c r="AF154" s="73"/>
      <c r="AG154" s="73"/>
      <c r="AH154" s="73"/>
      <c r="AI154" s="74"/>
      <c r="AJ154" s="75">
        <f t="shared" si="65"/>
        <v>0</v>
      </c>
      <c r="AK154" s="467"/>
      <c r="AL154" s="546"/>
      <c r="AM154" s="468" t="str">
        <f t="shared" si="68"/>
        <v/>
      </c>
      <c r="AN154" s="469" t="str">
        <f t="shared" si="59"/>
        <v/>
      </c>
      <c r="AO154" s="463" t="s">
        <v>4454</v>
      </c>
      <c r="AP154" s="463"/>
      <c r="AR154" s="63"/>
      <c r="AS154" s="64"/>
      <c r="AT154" s="65"/>
      <c r="AU154" s="66"/>
      <c r="AV154" s="67" t="e">
        <f>#REF!-#REF!</f>
        <v>#REF!</v>
      </c>
    </row>
    <row r="155" spans="1:56" customFormat="1" ht="25.5" customHeight="1" outlineLevel="2" thickBot="1">
      <c r="A155" s="542">
        <v>1541</v>
      </c>
      <c r="B155" s="490" t="s">
        <v>4500</v>
      </c>
      <c r="C155" s="458" t="s">
        <v>4526</v>
      </c>
      <c r="D155" s="542">
        <v>1541</v>
      </c>
      <c r="E155" s="407" t="s">
        <v>4553</v>
      </c>
      <c r="F155" s="428" t="s">
        <v>5216</v>
      </c>
      <c r="G155" s="409"/>
      <c r="H155" s="429" t="s">
        <v>5217</v>
      </c>
      <c r="I155" s="411">
        <v>15</v>
      </c>
      <c r="J155" s="459" t="s">
        <v>4526</v>
      </c>
      <c r="K155" s="560"/>
      <c r="L155" s="413"/>
      <c r="M155" s="464" t="s">
        <v>13</v>
      </c>
      <c r="N155" s="415"/>
      <c r="O155" s="280">
        <v>50000</v>
      </c>
      <c r="P155" s="465">
        <v>50000</v>
      </c>
      <c r="Q155" s="263">
        <f t="shared" si="67"/>
        <v>50000</v>
      </c>
      <c r="R155" s="284">
        <v>50000</v>
      </c>
      <c r="S155" s="285"/>
      <c r="T155" s="466">
        <v>50000</v>
      </c>
      <c r="U155" s="561">
        <v>50000</v>
      </c>
      <c r="V155" s="43"/>
      <c r="W155" s="44"/>
      <c r="X155" s="45">
        <v>43200</v>
      </c>
      <c r="Y155" s="46"/>
      <c r="Z155" s="46"/>
      <c r="AA155" s="130">
        <f t="shared" si="62"/>
        <v>66000</v>
      </c>
      <c r="AB155" s="142">
        <f t="shared" si="63"/>
        <v>16000</v>
      </c>
      <c r="AC155" s="562"/>
      <c r="AD155" s="424">
        <f t="shared" si="64"/>
        <v>16000</v>
      </c>
      <c r="AE155" s="49"/>
      <c r="AF155" s="50"/>
      <c r="AG155" s="50"/>
      <c r="AH155" s="50"/>
      <c r="AI155" s="51">
        <v>16000</v>
      </c>
      <c r="AJ155" s="52">
        <f t="shared" si="65"/>
        <v>0</v>
      </c>
      <c r="AK155" s="462"/>
      <c r="AL155" s="442"/>
      <c r="AM155" s="308" t="str">
        <f t="shared" si="68"/>
        <v>1541</v>
      </c>
      <c r="AN155" s="369" t="str">
        <f t="shared" si="59"/>
        <v>1541</v>
      </c>
      <c r="AO155" s="542">
        <v>1541</v>
      </c>
      <c r="AP155" s="542"/>
      <c r="AR155" s="130"/>
      <c r="AS155" s="54"/>
      <c r="AT155" s="55"/>
      <c r="AU155" s="41"/>
      <c r="AV155" s="57" t="e">
        <f>#REF!-#REF!</f>
        <v>#REF!</v>
      </c>
    </row>
    <row r="156" spans="1:56" ht="25.5" customHeight="1" outlineLevel="1" thickBot="1">
      <c r="A156" s="291" t="s">
        <v>4454</v>
      </c>
      <c r="B156" s="507"/>
      <c r="C156" s="508">
        <v>41</v>
      </c>
      <c r="D156" s="291" t="s">
        <v>4454</v>
      </c>
      <c r="E156" s="509"/>
      <c r="F156" s="510" t="s">
        <v>5218</v>
      </c>
      <c r="G156" s="511"/>
      <c r="H156" s="512"/>
      <c r="I156" s="513"/>
      <c r="J156" s="514"/>
      <c r="K156" s="515"/>
      <c r="L156" s="516"/>
      <c r="M156" s="517"/>
      <c r="N156" s="518"/>
      <c r="O156" s="519">
        <v>15630000</v>
      </c>
      <c r="P156" s="520">
        <f>SUM(P135:P155)</f>
        <v>17100000</v>
      </c>
      <c r="Q156" s="521">
        <f>SUBTOTAL(9,Q135:Q155)</f>
        <v>16880000</v>
      </c>
      <c r="R156" s="522">
        <f>SUBTOTAL(9,R135:R155)</f>
        <v>1350000</v>
      </c>
      <c r="S156" s="523">
        <f>SUBTOTAL(9,S135:S155)</f>
        <v>15530000</v>
      </c>
      <c r="T156" s="524">
        <v>17100000</v>
      </c>
      <c r="U156" s="548">
        <v>16180000</v>
      </c>
      <c r="V156" s="94"/>
      <c r="W156" s="95"/>
      <c r="X156" s="96"/>
      <c r="Y156" s="97"/>
      <c r="Z156" s="97"/>
      <c r="AA156" s="106">
        <f>SUBTOTAL(9,AA135:AA155)</f>
        <v>19996000</v>
      </c>
      <c r="AB156" s="99">
        <f>SUBTOTAL(9,AB135:AB155)</f>
        <v>18646000</v>
      </c>
      <c r="AC156" s="273"/>
      <c r="AD156" s="526">
        <f>SUM(AE156:AJ156)</f>
        <v>18646000</v>
      </c>
      <c r="AE156" s="100">
        <f t="shared" ref="AE156:AK156" si="69">SUBTOTAL(9,AE135:AE155)</f>
        <v>1780000</v>
      </c>
      <c r="AF156" s="101">
        <f t="shared" si="69"/>
        <v>0</v>
      </c>
      <c r="AG156" s="101">
        <f t="shared" si="69"/>
        <v>0</v>
      </c>
      <c r="AH156" s="101">
        <f t="shared" si="69"/>
        <v>900000</v>
      </c>
      <c r="AI156" s="102">
        <f t="shared" si="69"/>
        <v>436000</v>
      </c>
      <c r="AJ156" s="103">
        <f t="shared" si="69"/>
        <v>15530000</v>
      </c>
      <c r="AK156" s="527">
        <f t="shared" si="69"/>
        <v>0</v>
      </c>
      <c r="AL156" s="663"/>
      <c r="AM156" s="308" t="str">
        <f t="shared" si="68"/>
        <v/>
      </c>
      <c r="AN156" s="369" t="str">
        <f t="shared" si="59"/>
        <v/>
      </c>
      <c r="AO156" s="291" t="s">
        <v>4454</v>
      </c>
      <c r="AR156" s="106">
        <f>SUBTOTAL(9,AR135:AR155)</f>
        <v>16110000</v>
      </c>
      <c r="AS156" s="107"/>
      <c r="AT156" s="108">
        <f>SUBTOTAL(9,AT135:AT155)</f>
        <v>0</v>
      </c>
      <c r="AU156" s="109"/>
      <c r="AV156" s="110" t="e">
        <f>SUBTOTAL(9,AV135:AV155)</f>
        <v>#REF!</v>
      </c>
    </row>
    <row r="157" spans="1:56" s="470" customFormat="1" ht="25.5" customHeight="1" outlineLevel="2">
      <c r="A157" s="463" t="s">
        <v>4454</v>
      </c>
      <c r="B157" s="607" t="s">
        <v>4459</v>
      </c>
      <c r="C157" s="472">
        <v>42</v>
      </c>
      <c r="D157" s="463" t="s">
        <v>4454</v>
      </c>
      <c r="E157" s="473" t="s">
        <v>4558</v>
      </c>
      <c r="F157" s="474" t="s">
        <v>5553</v>
      </c>
      <c r="G157" s="475"/>
      <c r="H157" s="486" t="s">
        <v>5554</v>
      </c>
      <c r="I157" s="476"/>
      <c r="J157" s="477"/>
      <c r="K157" s="437"/>
      <c r="L157" s="487"/>
      <c r="M157" s="464" t="s">
        <v>13</v>
      </c>
      <c r="N157" s="623"/>
      <c r="O157" s="280">
        <v>0</v>
      </c>
      <c r="P157" s="465"/>
      <c r="Q157" s="263">
        <f>R157+S157</f>
        <v>0</v>
      </c>
      <c r="R157" s="278"/>
      <c r="S157" s="279"/>
      <c r="T157" s="466"/>
      <c r="U157" s="418">
        <v>0</v>
      </c>
      <c r="V157" s="61"/>
      <c r="W157" s="68"/>
      <c r="X157" s="79"/>
      <c r="Y157" s="70"/>
      <c r="Z157" s="70"/>
      <c r="AA157" s="71">
        <f>Q157+AB157-AJ157</f>
        <v>0</v>
      </c>
      <c r="AB157" s="166">
        <f>SUM(AE157:AI157)</f>
        <v>0</v>
      </c>
      <c r="AC157" s="281"/>
      <c r="AD157" s="624">
        <f>SUM(AE157:AJ157)-AJ157</f>
        <v>0</v>
      </c>
      <c r="AE157" s="62"/>
      <c r="AF157" s="73"/>
      <c r="AG157" s="73"/>
      <c r="AH157" s="73"/>
      <c r="AI157" s="74"/>
      <c r="AJ157" s="75"/>
      <c r="AK157" s="467"/>
      <c r="AL157" s="546"/>
      <c r="AM157" s="468" t="str">
        <f t="shared" si="68"/>
        <v/>
      </c>
      <c r="AN157" s="469" t="str">
        <f t="shared" si="59"/>
        <v/>
      </c>
      <c r="AO157" s="463" t="s">
        <v>4454</v>
      </c>
      <c r="AP157" s="463"/>
      <c r="AR157" s="71">
        <f>U159+AB157</f>
        <v>0</v>
      </c>
      <c r="AS157" s="64"/>
      <c r="AT157" s="65"/>
      <c r="AU157" s="66"/>
      <c r="AV157" s="67" t="e">
        <f>#REF!-#REF!</f>
        <v>#REF!</v>
      </c>
    </row>
    <row r="158" spans="1:56" s="470" customFormat="1" ht="25.5" customHeight="1" outlineLevel="2">
      <c r="A158" s="463" t="s">
        <v>4454</v>
      </c>
      <c r="B158" s="485"/>
      <c r="C158" s="472" t="s">
        <v>4538</v>
      </c>
      <c r="D158" s="463" t="s">
        <v>4454</v>
      </c>
      <c r="E158" s="473"/>
      <c r="F158" s="474" t="s">
        <v>5553</v>
      </c>
      <c r="G158" s="475"/>
      <c r="H158" s="486"/>
      <c r="I158" s="476"/>
      <c r="J158" s="477"/>
      <c r="K158" s="437"/>
      <c r="L158" s="487"/>
      <c r="M158" s="464" t="s">
        <v>13</v>
      </c>
      <c r="N158" s="488"/>
      <c r="O158" s="280">
        <v>0</v>
      </c>
      <c r="P158" s="465"/>
      <c r="Q158" s="263">
        <f>R158+S158</f>
        <v>0</v>
      </c>
      <c r="R158" s="278"/>
      <c r="S158" s="279"/>
      <c r="T158" s="466"/>
      <c r="U158" s="418">
        <v>0</v>
      </c>
      <c r="V158" s="61"/>
      <c r="W158" s="68"/>
      <c r="X158" s="79"/>
      <c r="Y158" s="70"/>
      <c r="Z158" s="70"/>
      <c r="AA158" s="63">
        <f>Q158+AB158-AJ158</f>
        <v>0</v>
      </c>
      <c r="AB158" s="72"/>
      <c r="AC158" s="267"/>
      <c r="AD158" s="545">
        <f>SUM(AE158:AJ158)-AJ158</f>
        <v>0</v>
      </c>
      <c r="AE158" s="62"/>
      <c r="AF158" s="73"/>
      <c r="AG158" s="73"/>
      <c r="AH158" s="73"/>
      <c r="AI158" s="74"/>
      <c r="AJ158" s="75"/>
      <c r="AK158" s="467"/>
      <c r="AL158" s="546"/>
      <c r="AM158" s="468" t="str">
        <f t="shared" si="68"/>
        <v/>
      </c>
      <c r="AN158" s="469" t="str">
        <f t="shared" si="59"/>
        <v/>
      </c>
      <c r="AO158" s="463" t="s">
        <v>4454</v>
      </c>
      <c r="AP158" s="463"/>
      <c r="AR158" s="63"/>
      <c r="AS158" s="64"/>
      <c r="AT158" s="65"/>
      <c r="AU158" s="66"/>
      <c r="AV158" s="67" t="e">
        <f>#REF!-#REF!</f>
        <v>#REF!</v>
      </c>
    </row>
    <row r="159" spans="1:56" s="470" customFormat="1" ht="25.5" customHeight="1" outlineLevel="2">
      <c r="A159" s="463" t="s">
        <v>4454</v>
      </c>
      <c r="B159" s="485"/>
      <c r="C159" s="472" t="s">
        <v>4538</v>
      </c>
      <c r="D159" s="463" t="s">
        <v>4454</v>
      </c>
      <c r="E159" s="473"/>
      <c r="F159" s="474" t="s">
        <v>5553</v>
      </c>
      <c r="G159" s="475"/>
      <c r="H159" s="486"/>
      <c r="I159" s="476"/>
      <c r="J159" s="477"/>
      <c r="K159" s="437"/>
      <c r="L159" s="487"/>
      <c r="M159" s="464" t="s">
        <v>13</v>
      </c>
      <c r="N159" s="488"/>
      <c r="O159" s="280">
        <v>0</v>
      </c>
      <c r="P159" s="465"/>
      <c r="Q159" s="263">
        <f>R159+S159</f>
        <v>0</v>
      </c>
      <c r="R159" s="278"/>
      <c r="S159" s="279"/>
      <c r="T159" s="466"/>
      <c r="U159" s="418">
        <v>0</v>
      </c>
      <c r="V159" s="61"/>
      <c r="W159" s="68"/>
      <c r="X159" s="79"/>
      <c r="Y159" s="70"/>
      <c r="Z159" s="70"/>
      <c r="AA159" s="63">
        <f>Q159+AB159-AJ159</f>
        <v>0</v>
      </c>
      <c r="AB159" s="72"/>
      <c r="AC159" s="267"/>
      <c r="AD159" s="545">
        <f>SUM(AE159:AJ159)-AJ159</f>
        <v>0</v>
      </c>
      <c r="AE159" s="62"/>
      <c r="AF159" s="73"/>
      <c r="AG159" s="73"/>
      <c r="AH159" s="73"/>
      <c r="AI159" s="74"/>
      <c r="AJ159" s="75"/>
      <c r="AK159" s="467"/>
      <c r="AL159" s="546"/>
      <c r="AM159" s="468" t="str">
        <f t="shared" si="68"/>
        <v/>
      </c>
      <c r="AN159" s="469" t="str">
        <f t="shared" si="59"/>
        <v/>
      </c>
      <c r="AO159" s="463" t="s">
        <v>4454</v>
      </c>
      <c r="AP159" s="463"/>
      <c r="AR159" s="63"/>
      <c r="AS159" s="64"/>
      <c r="AT159" s="65"/>
      <c r="AU159" s="66"/>
      <c r="AV159" s="67" t="e">
        <f>#REF!-#REF!</f>
        <v>#REF!</v>
      </c>
    </row>
    <row r="160" spans="1:56" ht="25.5" customHeight="1" outlineLevel="2" thickBot="1">
      <c r="A160" s="291">
        <v>1741</v>
      </c>
      <c r="B160" s="405" t="s">
        <v>4500</v>
      </c>
      <c r="C160" s="458">
        <v>42</v>
      </c>
      <c r="D160" s="291">
        <v>1741</v>
      </c>
      <c r="E160" s="407" t="s">
        <v>4512</v>
      </c>
      <c r="F160" s="428" t="s">
        <v>5553</v>
      </c>
      <c r="G160" s="409"/>
      <c r="H160" s="429" t="s">
        <v>5555</v>
      </c>
      <c r="I160" s="411">
        <v>17</v>
      </c>
      <c r="J160" s="459" t="s">
        <v>4526</v>
      </c>
      <c r="K160" s="437"/>
      <c r="L160" s="413">
        <v>44287</v>
      </c>
      <c r="M160" s="464" t="s">
        <v>13</v>
      </c>
      <c r="N160" s="415">
        <v>44286</v>
      </c>
      <c r="O160" s="280">
        <v>200000</v>
      </c>
      <c r="P160" s="465">
        <v>200000</v>
      </c>
      <c r="Q160" s="263">
        <f>R160+S160</f>
        <v>200000</v>
      </c>
      <c r="R160" s="284">
        <v>200000</v>
      </c>
      <c r="S160" s="285"/>
      <c r="T160" s="466">
        <v>200000</v>
      </c>
      <c r="U160" s="561">
        <v>200000</v>
      </c>
      <c r="V160" s="43"/>
      <c r="W160" s="44"/>
      <c r="X160" s="45">
        <v>43200</v>
      </c>
      <c r="Y160" s="46"/>
      <c r="Z160" s="46"/>
      <c r="AA160" s="47">
        <f>Q160+AB160-AJ160</f>
        <v>200000</v>
      </c>
      <c r="AB160" s="48">
        <f>SUM(AE160:AI160)</f>
        <v>0</v>
      </c>
      <c r="AC160" s="265"/>
      <c r="AD160" s="424">
        <f>SUM(AE160:AJ160)-AJ160</f>
        <v>0</v>
      </c>
      <c r="AE160" s="49"/>
      <c r="AF160" s="50"/>
      <c r="AG160" s="50"/>
      <c r="AH160" s="50"/>
      <c r="AI160" s="51"/>
      <c r="AJ160" s="52"/>
      <c r="AK160" s="462"/>
      <c r="AL160" s="442"/>
      <c r="AM160" s="308" t="str">
        <f t="shared" si="68"/>
        <v>1741</v>
      </c>
      <c r="AN160" s="369" t="str">
        <f t="shared" si="59"/>
        <v>1741</v>
      </c>
      <c r="AO160" s="291">
        <v>1741</v>
      </c>
      <c r="AR160" s="47">
        <f>U162+AB160</f>
        <v>0</v>
      </c>
      <c r="AS160" s="54"/>
      <c r="AT160" s="55"/>
      <c r="AU160" s="56"/>
      <c r="AV160" s="57" t="e">
        <f>#REF!-#REF!</f>
        <v>#REF!</v>
      </c>
    </row>
    <row r="161" spans="1:48" ht="25.5" customHeight="1" outlineLevel="1" thickBot="1">
      <c r="A161" s="291" t="s">
        <v>4454</v>
      </c>
      <c r="B161" s="507"/>
      <c r="C161" s="508">
        <v>42</v>
      </c>
      <c r="D161" s="291" t="s">
        <v>4454</v>
      </c>
      <c r="E161" s="509"/>
      <c r="F161" s="510" t="s">
        <v>5219</v>
      </c>
      <c r="G161" s="511"/>
      <c r="H161" s="512"/>
      <c r="I161" s="513"/>
      <c r="J161" s="514"/>
      <c r="K161" s="515"/>
      <c r="L161" s="516"/>
      <c r="M161" s="517"/>
      <c r="N161" s="518"/>
      <c r="O161" s="519">
        <v>200000</v>
      </c>
      <c r="P161" s="520">
        <f>SUM(P157:P160)</f>
        <v>200000</v>
      </c>
      <c r="Q161" s="521">
        <f>SUBTOTAL(9,Q157:Q160)</f>
        <v>200000</v>
      </c>
      <c r="R161" s="522">
        <f>SUBTOTAL(9,R157:R160)</f>
        <v>200000</v>
      </c>
      <c r="S161" s="523">
        <f>SUBTOTAL(9,S157:S160)</f>
        <v>0</v>
      </c>
      <c r="T161" s="524">
        <v>200000</v>
      </c>
      <c r="U161" s="548">
        <v>200000</v>
      </c>
      <c r="V161" s="94"/>
      <c r="W161" s="95"/>
      <c r="X161" s="96"/>
      <c r="Y161" s="97"/>
      <c r="Z161" s="97"/>
      <c r="AA161" s="137">
        <f>SUBTOTAL(9,AA157:AA160)</f>
        <v>200000</v>
      </c>
      <c r="AB161" s="99">
        <f t="shared" ref="AB161:AK161" si="70">SUBTOTAL(9,AB157:AB160)</f>
        <v>0</v>
      </c>
      <c r="AC161" s="273"/>
      <c r="AD161" s="526">
        <f>SUM(AE161:AJ161)</f>
        <v>0</v>
      </c>
      <c r="AE161" s="100">
        <f t="shared" si="70"/>
        <v>0</v>
      </c>
      <c r="AF161" s="101">
        <f t="shared" si="70"/>
        <v>0</v>
      </c>
      <c r="AG161" s="101">
        <f t="shared" si="70"/>
        <v>0</v>
      </c>
      <c r="AH161" s="101">
        <f t="shared" si="70"/>
        <v>0</v>
      </c>
      <c r="AI161" s="102">
        <f t="shared" si="70"/>
        <v>0</v>
      </c>
      <c r="AJ161" s="103">
        <f t="shared" si="70"/>
        <v>0</v>
      </c>
      <c r="AK161" s="527">
        <f t="shared" si="70"/>
        <v>0</v>
      </c>
      <c r="AL161" s="663"/>
      <c r="AM161" s="308" t="str">
        <f t="shared" si="68"/>
        <v/>
      </c>
      <c r="AN161" s="369" t="str">
        <f t="shared" ref="AN161:AN172" si="71">I161&amp;J161</f>
        <v/>
      </c>
      <c r="AO161" s="291" t="s">
        <v>4454</v>
      </c>
      <c r="AR161" s="137">
        <f>SUBTOTAL(9,AR157:AR160)</f>
        <v>0</v>
      </c>
      <c r="AS161" s="107"/>
      <c r="AT161" s="108">
        <f>SUBTOTAL(9,AT157:AT160)</f>
        <v>0</v>
      </c>
      <c r="AU161" s="109"/>
      <c r="AV161" s="110" t="e">
        <f>SUM(AV157:AV160)</f>
        <v>#REF!</v>
      </c>
    </row>
    <row r="162" spans="1:48" s="470" customFormat="1" ht="25.5" customHeight="1" outlineLevel="2">
      <c r="A162" s="463" t="s">
        <v>4454</v>
      </c>
      <c r="B162" s="485" t="s">
        <v>4530</v>
      </c>
      <c r="C162" s="472">
        <v>43</v>
      </c>
      <c r="D162" s="463" t="s">
        <v>4454</v>
      </c>
      <c r="E162" s="407" t="s">
        <v>4534</v>
      </c>
      <c r="F162" s="474" t="s">
        <v>5556</v>
      </c>
      <c r="G162" s="409"/>
      <c r="H162" s="429" t="s">
        <v>5220</v>
      </c>
      <c r="I162" s="476"/>
      <c r="J162" s="477"/>
      <c r="K162" s="437"/>
      <c r="L162" s="413"/>
      <c r="M162" s="464" t="s">
        <v>13</v>
      </c>
      <c r="N162" s="415"/>
      <c r="O162" s="280">
        <v>0</v>
      </c>
      <c r="P162" s="465">
        <v>150000</v>
      </c>
      <c r="Q162" s="263">
        <f t="shared" ref="Q162:Q168" si="72">R162+S162</f>
        <v>0</v>
      </c>
      <c r="R162" s="278"/>
      <c r="S162" s="279"/>
      <c r="T162" s="466">
        <v>150000</v>
      </c>
      <c r="U162" s="418">
        <v>0</v>
      </c>
      <c r="V162" s="61"/>
      <c r="W162" s="68"/>
      <c r="X162" s="164">
        <v>42204</v>
      </c>
      <c r="Y162" s="70"/>
      <c r="Z162" s="70"/>
      <c r="AA162" s="71">
        <f t="shared" ref="AA162:AA168" si="73">Q162+AB162-AJ162</f>
        <v>0</v>
      </c>
      <c r="AB162" s="72">
        <f>SUM(AE162:AI162)</f>
        <v>0</v>
      </c>
      <c r="AC162" s="267"/>
      <c r="AD162" s="545">
        <f t="shared" ref="AD162:AD168" si="74">SUM(AE162:AJ162)-AJ162</f>
        <v>0</v>
      </c>
      <c r="AE162" s="62"/>
      <c r="AF162" s="73"/>
      <c r="AG162" s="73"/>
      <c r="AH162" s="73"/>
      <c r="AI162" s="74"/>
      <c r="AJ162" s="75"/>
      <c r="AK162" s="467"/>
      <c r="AL162" s="546"/>
      <c r="AM162" s="468" t="str">
        <f t="shared" si="68"/>
        <v/>
      </c>
      <c r="AN162" s="469" t="str">
        <f t="shared" si="71"/>
        <v/>
      </c>
      <c r="AO162" s="463" t="s">
        <v>4454</v>
      </c>
      <c r="AP162" s="463"/>
      <c r="AR162" s="71">
        <f>U164+AB162</f>
        <v>150000</v>
      </c>
      <c r="AS162" s="64"/>
      <c r="AT162" s="65"/>
      <c r="AU162" s="66"/>
      <c r="AV162" s="67" t="e">
        <f>#REF!-#REF!</f>
        <v>#REF!</v>
      </c>
    </row>
    <row r="163" spans="1:48" s="470" customFormat="1" ht="25.5" customHeight="1" outlineLevel="2">
      <c r="A163" s="463" t="s">
        <v>4454</v>
      </c>
      <c r="B163" s="607" t="s">
        <v>4459</v>
      </c>
      <c r="C163" s="472">
        <v>43</v>
      </c>
      <c r="D163" s="463" t="s">
        <v>4454</v>
      </c>
      <c r="E163" s="407" t="s">
        <v>4534</v>
      </c>
      <c r="F163" s="474" t="s">
        <v>5556</v>
      </c>
      <c r="G163" s="409"/>
      <c r="H163" s="429" t="s">
        <v>4464</v>
      </c>
      <c r="I163" s="476"/>
      <c r="J163" s="477"/>
      <c r="K163" s="437"/>
      <c r="L163" s="413"/>
      <c r="M163" s="464" t="s">
        <v>13</v>
      </c>
      <c r="N163" s="415"/>
      <c r="O163" s="280">
        <v>0</v>
      </c>
      <c r="P163" s="465">
        <v>150000</v>
      </c>
      <c r="Q163" s="263">
        <f t="shared" si="72"/>
        <v>0</v>
      </c>
      <c r="R163" s="278"/>
      <c r="S163" s="279"/>
      <c r="T163" s="466">
        <v>150000</v>
      </c>
      <c r="U163" s="418">
        <v>0</v>
      </c>
      <c r="V163" s="61"/>
      <c r="W163" s="68"/>
      <c r="X163" s="164">
        <v>42010</v>
      </c>
      <c r="Y163" s="70"/>
      <c r="Z163" s="70"/>
      <c r="AA163" s="71">
        <f t="shared" si="73"/>
        <v>0</v>
      </c>
      <c r="AB163" s="72">
        <f>SUM(AE163:AI163)</f>
        <v>0</v>
      </c>
      <c r="AC163" s="267"/>
      <c r="AD163" s="545">
        <f t="shared" si="74"/>
        <v>0</v>
      </c>
      <c r="AE163" s="62"/>
      <c r="AF163" s="73"/>
      <c r="AG163" s="73"/>
      <c r="AH163" s="73"/>
      <c r="AI163" s="74"/>
      <c r="AJ163" s="75"/>
      <c r="AK163" s="467"/>
      <c r="AL163" s="546"/>
      <c r="AM163" s="468" t="str">
        <f t="shared" si="68"/>
        <v/>
      </c>
      <c r="AN163" s="469" t="str">
        <f t="shared" si="71"/>
        <v/>
      </c>
      <c r="AO163" s="463" t="s">
        <v>4454</v>
      </c>
      <c r="AP163" s="463"/>
      <c r="AR163" s="71">
        <f>U165+AB163-AJ163</f>
        <v>150000</v>
      </c>
      <c r="AS163" s="64"/>
      <c r="AT163" s="65"/>
      <c r="AU163" s="66"/>
      <c r="AV163" s="67" t="e">
        <f>#REF!-#REF!</f>
        <v>#REF!</v>
      </c>
    </row>
    <row r="164" spans="1:48" customFormat="1" ht="25.5" customHeight="1" outlineLevel="2">
      <c r="A164" s="542">
        <v>2341</v>
      </c>
      <c r="B164" s="482" t="s">
        <v>4459</v>
      </c>
      <c r="C164" s="458">
        <v>43</v>
      </c>
      <c r="D164" s="542">
        <v>2341</v>
      </c>
      <c r="E164" s="407" t="s">
        <v>4534</v>
      </c>
      <c r="F164" s="428" t="s">
        <v>5556</v>
      </c>
      <c r="G164" s="409">
        <v>20</v>
      </c>
      <c r="H164" s="429" t="s">
        <v>5557</v>
      </c>
      <c r="I164" s="411">
        <v>23</v>
      </c>
      <c r="J164" s="459" t="s">
        <v>4526</v>
      </c>
      <c r="K164" s="437"/>
      <c r="L164" s="413">
        <v>44443</v>
      </c>
      <c r="M164" s="464" t="s">
        <v>13</v>
      </c>
      <c r="N164" s="415">
        <v>44528</v>
      </c>
      <c r="O164" s="280">
        <v>150000</v>
      </c>
      <c r="P164" s="465">
        <v>150000</v>
      </c>
      <c r="Q164" s="263">
        <f t="shared" si="72"/>
        <v>150000</v>
      </c>
      <c r="R164" s="284">
        <v>150000</v>
      </c>
      <c r="S164" s="285"/>
      <c r="T164" s="466">
        <v>150000</v>
      </c>
      <c r="U164" s="418">
        <v>150000</v>
      </c>
      <c r="V164" s="43"/>
      <c r="W164" s="44"/>
      <c r="X164" s="45">
        <f>+N164+14</f>
        <v>44542</v>
      </c>
      <c r="Y164" s="46"/>
      <c r="Z164" s="46"/>
      <c r="AA164" s="47">
        <f t="shared" si="73"/>
        <v>150000</v>
      </c>
      <c r="AB164" s="48">
        <f>SUM(AE164:AI164)</f>
        <v>0</v>
      </c>
      <c r="AC164" s="265"/>
      <c r="AD164" s="424">
        <f t="shared" si="74"/>
        <v>0</v>
      </c>
      <c r="AE164" s="49"/>
      <c r="AF164" s="50"/>
      <c r="AG164" s="50"/>
      <c r="AH164" s="50"/>
      <c r="AI164" s="51"/>
      <c r="AJ164" s="52"/>
      <c r="AK164" s="462"/>
      <c r="AL164" s="442"/>
      <c r="AM164" s="308" t="str">
        <f t="shared" si="68"/>
        <v>2341</v>
      </c>
      <c r="AN164" s="369" t="str">
        <f t="shared" si="71"/>
        <v>2341</v>
      </c>
      <c r="AO164" s="542">
        <v>2341</v>
      </c>
      <c r="AP164" s="542"/>
      <c r="AR164" s="168">
        <f>U166+AB164-AJ164</f>
        <v>0</v>
      </c>
      <c r="AS164" s="54"/>
      <c r="AT164" s="55"/>
      <c r="AU164" s="41"/>
      <c r="AV164" s="57" t="e">
        <f>#REF!-#REF!</f>
        <v>#REF!</v>
      </c>
    </row>
    <row r="165" spans="1:48" customFormat="1" ht="25.5" customHeight="1" outlineLevel="2">
      <c r="A165" s="542">
        <v>2342</v>
      </c>
      <c r="B165" s="482" t="s">
        <v>4459</v>
      </c>
      <c r="C165" s="458">
        <v>43</v>
      </c>
      <c r="D165" s="542">
        <v>2342</v>
      </c>
      <c r="E165" s="407" t="s">
        <v>4534</v>
      </c>
      <c r="F165" s="428" t="s">
        <v>5556</v>
      </c>
      <c r="G165" s="409">
        <v>20</v>
      </c>
      <c r="H165" s="429" t="s">
        <v>5558</v>
      </c>
      <c r="I165" s="411">
        <v>23</v>
      </c>
      <c r="J165" s="459" t="s">
        <v>4538</v>
      </c>
      <c r="K165" s="437"/>
      <c r="L165" s="413">
        <v>44380</v>
      </c>
      <c r="M165" s="464" t="s">
        <v>13</v>
      </c>
      <c r="N165" s="415">
        <v>44472</v>
      </c>
      <c r="O165" s="280">
        <v>150000</v>
      </c>
      <c r="P165" s="465">
        <v>150000</v>
      </c>
      <c r="Q165" s="263">
        <f t="shared" si="72"/>
        <v>150000</v>
      </c>
      <c r="R165" s="284">
        <v>150000</v>
      </c>
      <c r="S165" s="285"/>
      <c r="T165" s="466">
        <v>150000</v>
      </c>
      <c r="U165" s="418">
        <v>150000</v>
      </c>
      <c r="V165" s="43"/>
      <c r="W165" s="44"/>
      <c r="X165" s="45">
        <f>+N165+14</f>
        <v>44486</v>
      </c>
      <c r="Y165" s="46"/>
      <c r="Z165" s="46"/>
      <c r="AA165" s="47">
        <f t="shared" si="73"/>
        <v>150000</v>
      </c>
      <c r="AB165" s="48">
        <f>SUM(AE165:AI165)</f>
        <v>0</v>
      </c>
      <c r="AC165" s="265"/>
      <c r="AD165" s="424">
        <f t="shared" si="74"/>
        <v>0</v>
      </c>
      <c r="AE165" s="49"/>
      <c r="AF165" s="50"/>
      <c r="AG165" s="50"/>
      <c r="AH165" s="50"/>
      <c r="AI165" s="51"/>
      <c r="AJ165" s="52"/>
      <c r="AK165" s="462"/>
      <c r="AL165" s="442"/>
      <c r="AM165" s="308" t="str">
        <f t="shared" si="68"/>
        <v>2342</v>
      </c>
      <c r="AN165" s="369" t="str">
        <f t="shared" si="71"/>
        <v>2342</v>
      </c>
      <c r="AO165" s="542">
        <v>2342</v>
      </c>
      <c r="AP165" s="542"/>
      <c r="AR165" s="168">
        <f>U167+AB165-AJ165</f>
        <v>0</v>
      </c>
      <c r="AS165" s="54"/>
      <c r="AT165" s="55"/>
      <c r="AU165" s="41"/>
      <c r="AV165" s="57" t="e">
        <f>#REF!-#REF!</f>
        <v>#REF!</v>
      </c>
    </row>
    <row r="166" spans="1:48" s="470" customFormat="1" ht="25.5" customHeight="1" outlineLevel="2">
      <c r="A166" s="463" t="s">
        <v>4454</v>
      </c>
      <c r="B166" s="607" t="s">
        <v>4459</v>
      </c>
      <c r="C166" s="472">
        <v>43</v>
      </c>
      <c r="D166" s="463" t="s">
        <v>4454</v>
      </c>
      <c r="E166" s="407"/>
      <c r="F166" s="474" t="s">
        <v>5556</v>
      </c>
      <c r="G166" s="409"/>
      <c r="H166" s="429"/>
      <c r="I166" s="476"/>
      <c r="J166" s="477"/>
      <c r="K166" s="437"/>
      <c r="L166" s="413"/>
      <c r="M166" s="464" t="s">
        <v>13</v>
      </c>
      <c r="N166" s="415"/>
      <c r="O166" s="280">
        <v>0</v>
      </c>
      <c r="P166" s="465"/>
      <c r="Q166" s="263">
        <f t="shared" si="72"/>
        <v>0</v>
      </c>
      <c r="R166" s="278"/>
      <c r="S166" s="279"/>
      <c r="T166" s="466"/>
      <c r="U166" s="418">
        <v>0</v>
      </c>
      <c r="V166" s="61"/>
      <c r="W166" s="68"/>
      <c r="X166" s="79"/>
      <c r="Y166" s="70"/>
      <c r="Z166" s="70"/>
      <c r="AA166" s="71">
        <f t="shared" si="73"/>
        <v>0</v>
      </c>
      <c r="AB166" s="72">
        <f>SUM(AE166:AI166)</f>
        <v>0</v>
      </c>
      <c r="AC166" s="267"/>
      <c r="AD166" s="545">
        <f t="shared" si="74"/>
        <v>0</v>
      </c>
      <c r="AE166" s="62"/>
      <c r="AF166" s="73"/>
      <c r="AG166" s="73"/>
      <c r="AH166" s="73"/>
      <c r="AI166" s="74"/>
      <c r="AJ166" s="75"/>
      <c r="AK166" s="467"/>
      <c r="AL166" s="546"/>
      <c r="AM166" s="468" t="str">
        <f t="shared" si="68"/>
        <v/>
      </c>
      <c r="AN166" s="469" t="str">
        <f t="shared" si="71"/>
        <v/>
      </c>
      <c r="AO166" s="463" t="s">
        <v>4454</v>
      </c>
      <c r="AP166" s="463"/>
      <c r="AR166" s="71">
        <f>U168+AB166-AJ166</f>
        <v>0</v>
      </c>
      <c r="AS166" s="64"/>
      <c r="AT166" s="65"/>
      <c r="AU166" s="66"/>
      <c r="AV166" s="67" t="e">
        <f>#REF!-#REF!</f>
        <v>#REF!</v>
      </c>
    </row>
    <row r="167" spans="1:48" s="470" customFormat="1" ht="25.5" customHeight="1" outlineLevel="2">
      <c r="A167" s="463" t="s">
        <v>4454</v>
      </c>
      <c r="B167" s="485"/>
      <c r="C167" s="472" t="s">
        <v>4540</v>
      </c>
      <c r="D167" s="463" t="s">
        <v>4454</v>
      </c>
      <c r="E167" s="473"/>
      <c r="F167" s="474" t="s">
        <v>5556</v>
      </c>
      <c r="G167" s="475"/>
      <c r="H167" s="486"/>
      <c r="I167" s="476"/>
      <c r="J167" s="477"/>
      <c r="K167" s="437"/>
      <c r="L167" s="487"/>
      <c r="M167" s="464" t="s">
        <v>13</v>
      </c>
      <c r="N167" s="488"/>
      <c r="O167" s="280">
        <v>0</v>
      </c>
      <c r="P167" s="465"/>
      <c r="Q167" s="263">
        <f t="shared" si="72"/>
        <v>0</v>
      </c>
      <c r="R167" s="278"/>
      <c r="S167" s="279"/>
      <c r="T167" s="466"/>
      <c r="U167" s="418">
        <v>0</v>
      </c>
      <c r="V167" s="61"/>
      <c r="W167" s="68"/>
      <c r="X167" s="79"/>
      <c r="Y167" s="70"/>
      <c r="Z167" s="70"/>
      <c r="AA167" s="63">
        <f t="shared" si="73"/>
        <v>0</v>
      </c>
      <c r="AB167" s="72"/>
      <c r="AC167" s="267"/>
      <c r="AD167" s="545">
        <f t="shared" si="74"/>
        <v>0</v>
      </c>
      <c r="AE167" s="62"/>
      <c r="AF167" s="73"/>
      <c r="AG167" s="73"/>
      <c r="AH167" s="73"/>
      <c r="AI167" s="74"/>
      <c r="AJ167" s="75"/>
      <c r="AK167" s="467"/>
      <c r="AL167" s="546"/>
      <c r="AM167" s="468" t="str">
        <f t="shared" si="68"/>
        <v/>
      </c>
      <c r="AN167" s="469" t="str">
        <f t="shared" si="71"/>
        <v/>
      </c>
      <c r="AO167" s="463" t="s">
        <v>4454</v>
      </c>
      <c r="AP167" s="463"/>
      <c r="AR167" s="63"/>
      <c r="AS167" s="64"/>
      <c r="AT167" s="65"/>
      <c r="AU167" s="66"/>
      <c r="AV167" s="67" t="e">
        <f>#REF!-#REF!</f>
        <v>#REF!</v>
      </c>
    </row>
    <row r="168" spans="1:48" s="470" customFormat="1" ht="25.5" customHeight="1" outlineLevel="2" thickBot="1">
      <c r="A168" s="463">
        <v>1742</v>
      </c>
      <c r="B168" s="608" t="s">
        <v>4500</v>
      </c>
      <c r="C168" s="472">
        <v>43</v>
      </c>
      <c r="D168" s="463">
        <v>1742</v>
      </c>
      <c r="E168" s="473" t="s">
        <v>4512</v>
      </c>
      <c r="F168" s="474" t="s">
        <v>5556</v>
      </c>
      <c r="G168" s="475"/>
      <c r="H168" s="486" t="s">
        <v>5559</v>
      </c>
      <c r="I168" s="476">
        <v>17</v>
      </c>
      <c r="J168" s="477" t="s">
        <v>4538</v>
      </c>
      <c r="K168" s="437"/>
      <c r="L168" s="487"/>
      <c r="M168" s="464" t="s">
        <v>13</v>
      </c>
      <c r="N168" s="488"/>
      <c r="O168" s="280">
        <v>0</v>
      </c>
      <c r="P168" s="465"/>
      <c r="Q168" s="263">
        <f t="shared" si="72"/>
        <v>0</v>
      </c>
      <c r="R168" s="278"/>
      <c r="S168" s="279"/>
      <c r="T168" s="466"/>
      <c r="U168" s="418">
        <v>0</v>
      </c>
      <c r="V168" s="61"/>
      <c r="W168" s="68"/>
      <c r="X168" s="79">
        <v>43200</v>
      </c>
      <c r="Y168" s="70"/>
      <c r="Z168" s="70"/>
      <c r="AA168" s="71">
        <f t="shared" si="73"/>
        <v>0</v>
      </c>
      <c r="AB168" s="72">
        <f>SUM(AE168:AI168)</f>
        <v>0</v>
      </c>
      <c r="AC168" s="267"/>
      <c r="AD168" s="545">
        <f t="shared" si="74"/>
        <v>0</v>
      </c>
      <c r="AE168" s="62"/>
      <c r="AF168" s="73"/>
      <c r="AG168" s="73"/>
      <c r="AH168" s="73"/>
      <c r="AI168" s="74"/>
      <c r="AJ168" s="75"/>
      <c r="AK168" s="467"/>
      <c r="AL168" s="546"/>
      <c r="AM168" s="468" t="str">
        <f t="shared" si="68"/>
        <v>1742</v>
      </c>
      <c r="AN168" s="469" t="str">
        <f t="shared" si="71"/>
        <v>1742</v>
      </c>
      <c r="AO168" s="463">
        <v>1742</v>
      </c>
      <c r="AP168" s="463"/>
      <c r="AR168" s="71">
        <f>U170+AB168</f>
        <v>300000</v>
      </c>
      <c r="AS168" s="64"/>
      <c r="AT168" s="65"/>
      <c r="AU168" s="66"/>
      <c r="AV168" s="67" t="e">
        <f>#REF!-#REF!</f>
        <v>#REF!</v>
      </c>
    </row>
    <row r="169" spans="1:48" ht="25.5" customHeight="1" outlineLevel="1" thickBot="1">
      <c r="A169" s="291" t="s">
        <v>4454</v>
      </c>
      <c r="B169" s="507"/>
      <c r="C169" s="508">
        <v>43</v>
      </c>
      <c r="D169" s="291" t="s">
        <v>4454</v>
      </c>
      <c r="E169" s="509"/>
      <c r="F169" s="510" t="s">
        <v>5221</v>
      </c>
      <c r="G169" s="511"/>
      <c r="H169" s="512"/>
      <c r="I169" s="513"/>
      <c r="J169" s="514"/>
      <c r="K169" s="515"/>
      <c r="L169" s="516"/>
      <c r="M169" s="517"/>
      <c r="N169" s="518"/>
      <c r="O169" s="519">
        <v>300000</v>
      </c>
      <c r="P169" s="520"/>
      <c r="Q169" s="521">
        <f>SUBTOTAL(9,Q162:Q168)</f>
        <v>300000</v>
      </c>
      <c r="R169" s="522">
        <f>SUBTOTAL(9,R162:R168)</f>
        <v>300000</v>
      </c>
      <c r="S169" s="523">
        <f>SUBTOTAL(9,S162:S168)</f>
        <v>0</v>
      </c>
      <c r="T169" s="524"/>
      <c r="U169" s="549">
        <v>300000</v>
      </c>
      <c r="V169" s="94"/>
      <c r="W169" s="95"/>
      <c r="X169" s="96"/>
      <c r="Y169" s="97"/>
      <c r="Z169" s="97"/>
      <c r="AA169" s="137">
        <f t="shared" ref="AA169:AK169" si="75">SUBTOTAL(9,AA162:AA168)</f>
        <v>300000</v>
      </c>
      <c r="AB169" s="99">
        <f>SUBTOTAL(9,AB162:AB168)</f>
        <v>0</v>
      </c>
      <c r="AC169" s="273"/>
      <c r="AD169" s="526">
        <f>SUM(AE169:AJ169)</f>
        <v>0</v>
      </c>
      <c r="AE169" s="100">
        <f t="shared" si="75"/>
        <v>0</v>
      </c>
      <c r="AF169" s="101">
        <f t="shared" si="75"/>
        <v>0</v>
      </c>
      <c r="AG169" s="101">
        <f t="shared" si="75"/>
        <v>0</v>
      </c>
      <c r="AH169" s="101">
        <f t="shared" si="75"/>
        <v>0</v>
      </c>
      <c r="AI169" s="102">
        <f t="shared" si="75"/>
        <v>0</v>
      </c>
      <c r="AJ169" s="103">
        <f t="shared" si="75"/>
        <v>0</v>
      </c>
      <c r="AK169" s="527">
        <f t="shared" si="75"/>
        <v>0</v>
      </c>
      <c r="AL169" s="550">
        <f>Q156+Q161+Q169</f>
        <v>17380000</v>
      </c>
      <c r="AM169" s="308" t="str">
        <f t="shared" si="68"/>
        <v/>
      </c>
      <c r="AN169" s="369" t="str">
        <f t="shared" si="71"/>
        <v/>
      </c>
      <c r="AO169" s="291" t="s">
        <v>4454</v>
      </c>
      <c r="AR169" s="137">
        <f>SUBTOTAL(9,AR162:AR168)</f>
        <v>600000</v>
      </c>
      <c r="AS169" s="107"/>
      <c r="AT169" s="108">
        <f>SUBTOTAL(9,AT162:AT168)</f>
        <v>0</v>
      </c>
      <c r="AU169" s="109"/>
      <c r="AV169" s="110" t="e">
        <f>SUBTOTAL(9,AV162:AV168)</f>
        <v>#REF!</v>
      </c>
    </row>
    <row r="170" spans="1:48" ht="25.5" customHeight="1" outlineLevel="2">
      <c r="A170" s="291">
        <v>1552</v>
      </c>
      <c r="B170" s="610" t="s">
        <v>4448</v>
      </c>
      <c r="C170" s="664">
        <v>51</v>
      </c>
      <c r="D170" s="291">
        <v>1552</v>
      </c>
      <c r="E170" s="339" t="s">
        <v>4553</v>
      </c>
      <c r="F170" s="340" t="s">
        <v>4561</v>
      </c>
      <c r="G170" s="341"/>
      <c r="H170" s="665" t="s">
        <v>5560</v>
      </c>
      <c r="I170" s="343">
        <v>15</v>
      </c>
      <c r="J170" s="344" t="s">
        <v>4564</v>
      </c>
      <c r="K170" s="553">
        <v>17</v>
      </c>
      <c r="L170" s="346"/>
      <c r="M170" s="554" t="s">
        <v>13</v>
      </c>
      <c r="N170" s="438"/>
      <c r="O170" s="349">
        <v>300000</v>
      </c>
      <c r="P170" s="555">
        <v>300000</v>
      </c>
      <c r="Q170" s="351">
        <f>R170+S170</f>
        <v>300000</v>
      </c>
      <c r="R170" s="352"/>
      <c r="S170" s="201">
        <v>300000</v>
      </c>
      <c r="T170" s="556">
        <v>300000</v>
      </c>
      <c r="U170" s="355">
        <v>300000</v>
      </c>
      <c r="V170" s="206"/>
      <c r="W170" s="611"/>
      <c r="X170" s="173" t="s">
        <v>4506</v>
      </c>
      <c r="Y170" s="557"/>
      <c r="Z170" s="557"/>
      <c r="AA170" s="198">
        <f>Q170+AB170-AJ170</f>
        <v>300000</v>
      </c>
      <c r="AB170" s="48">
        <f>SUM(AE170:AI170)+AJ170</f>
        <v>300000</v>
      </c>
      <c r="AC170" s="265"/>
      <c r="AD170" s="362">
        <f t="shared" ref="AD170:AD175" si="76">SUM(AE170:AJ170)-AJ170</f>
        <v>0</v>
      </c>
      <c r="AE170" s="666"/>
      <c r="AF170" s="203"/>
      <c r="AG170" s="203"/>
      <c r="AH170" s="203"/>
      <c r="AI170" s="204"/>
      <c r="AJ170" s="143">
        <f>+S170</f>
        <v>300000</v>
      </c>
      <c r="AK170" s="558">
        <v>25000</v>
      </c>
      <c r="AL170" s="559" t="s">
        <v>5439</v>
      </c>
      <c r="AM170" s="308" t="str">
        <f t="shared" si="68"/>
        <v>1552</v>
      </c>
      <c r="AN170" s="369" t="str">
        <f t="shared" si="71"/>
        <v>1552</v>
      </c>
      <c r="AO170" s="291">
        <v>1552</v>
      </c>
      <c r="AR170" s="47">
        <f>U172+AB170-AJ170</f>
        <v>0</v>
      </c>
      <c r="AS170" s="54"/>
      <c r="AT170" s="55"/>
      <c r="AU170" s="56"/>
      <c r="AV170" s="57" t="e">
        <f>#REF!-#REF!</f>
        <v>#REF!</v>
      </c>
    </row>
    <row r="171" spans="1:48" ht="25.5" customHeight="1" outlineLevel="2">
      <c r="A171" s="291">
        <v>1553</v>
      </c>
      <c r="B171" s="569" t="s">
        <v>4448</v>
      </c>
      <c r="C171" s="667">
        <v>51</v>
      </c>
      <c r="D171" s="291">
        <v>1553</v>
      </c>
      <c r="E171" s="407" t="s">
        <v>4553</v>
      </c>
      <c r="F171" s="428" t="s">
        <v>4561</v>
      </c>
      <c r="G171" s="409"/>
      <c r="H171" s="668" t="s">
        <v>5561</v>
      </c>
      <c r="I171" s="411">
        <v>15</v>
      </c>
      <c r="J171" s="459" t="s">
        <v>4565</v>
      </c>
      <c r="K171" s="460">
        <v>18</v>
      </c>
      <c r="L171" s="413"/>
      <c r="M171" s="464" t="s">
        <v>13</v>
      </c>
      <c r="N171" s="415"/>
      <c r="O171" s="280">
        <v>300000</v>
      </c>
      <c r="P171" s="465">
        <v>300000</v>
      </c>
      <c r="Q171" s="263">
        <f>R171+S171</f>
        <v>300000</v>
      </c>
      <c r="R171" s="284"/>
      <c r="S171" s="59">
        <v>300000</v>
      </c>
      <c r="T171" s="466">
        <v>300000</v>
      </c>
      <c r="U171" s="418">
        <v>300000</v>
      </c>
      <c r="V171" s="43"/>
      <c r="W171" s="44"/>
      <c r="X171" s="58" t="s">
        <v>4506</v>
      </c>
      <c r="Y171" s="46"/>
      <c r="Z171" s="46"/>
      <c r="AA171" s="47">
        <f>Q171+AB171-AJ171</f>
        <v>300000</v>
      </c>
      <c r="AB171" s="48">
        <f>SUM(AE171:AI171)+AJ171</f>
        <v>300000</v>
      </c>
      <c r="AC171" s="265"/>
      <c r="AD171" s="424">
        <f t="shared" si="76"/>
        <v>0</v>
      </c>
      <c r="AE171" s="183"/>
      <c r="AF171" s="50"/>
      <c r="AG171" s="50"/>
      <c r="AH171" s="50"/>
      <c r="AI171" s="51"/>
      <c r="AJ171" s="52">
        <f>+S171</f>
        <v>300000</v>
      </c>
      <c r="AK171" s="462">
        <v>25000</v>
      </c>
      <c r="AL171" s="396" t="s">
        <v>5439</v>
      </c>
      <c r="AM171" s="308" t="str">
        <f t="shared" si="68"/>
        <v>1553</v>
      </c>
      <c r="AN171" s="369" t="str">
        <f t="shared" si="71"/>
        <v>1553</v>
      </c>
      <c r="AO171" s="291">
        <v>1553</v>
      </c>
      <c r="AR171" s="47">
        <f>U173+AB171-AJ171</f>
        <v>0</v>
      </c>
      <c r="AS171" s="54"/>
      <c r="AT171" s="55"/>
      <c r="AU171" s="56"/>
      <c r="AV171" s="57" t="e">
        <f>#REF!-#REF!</f>
        <v>#REF!</v>
      </c>
    </row>
    <row r="172" spans="1:48" s="470" customFormat="1" ht="25.5" hidden="1" customHeight="1" outlineLevel="2">
      <c r="A172" s="463">
        <v>1554</v>
      </c>
      <c r="B172" s="485" t="s">
        <v>4448</v>
      </c>
      <c r="C172" s="669">
        <v>51</v>
      </c>
      <c r="D172" s="463">
        <v>1554</v>
      </c>
      <c r="E172" s="473" t="s">
        <v>4553</v>
      </c>
      <c r="F172" s="474" t="s">
        <v>4561</v>
      </c>
      <c r="G172" s="475"/>
      <c r="H172" s="670" t="s">
        <v>4465</v>
      </c>
      <c r="I172" s="476">
        <v>15</v>
      </c>
      <c r="J172" s="671" t="s">
        <v>4566</v>
      </c>
      <c r="K172" s="437"/>
      <c r="L172" s="487"/>
      <c r="M172" s="464" t="s">
        <v>13</v>
      </c>
      <c r="N172" s="488"/>
      <c r="O172" s="280">
        <v>0</v>
      </c>
      <c r="P172" s="465"/>
      <c r="Q172" s="263">
        <f>R172+S172</f>
        <v>0</v>
      </c>
      <c r="R172" s="278"/>
      <c r="S172" s="279"/>
      <c r="T172" s="466"/>
      <c r="U172" s="418">
        <v>0</v>
      </c>
      <c r="V172" s="61"/>
      <c r="W172" s="68"/>
      <c r="X172" s="69" t="s">
        <v>4506</v>
      </c>
      <c r="Y172" s="70"/>
      <c r="Z172" s="70"/>
      <c r="AA172" s="71">
        <f>Q172+AB172-AJ172</f>
        <v>0</v>
      </c>
      <c r="AB172" s="72">
        <f>SUM(AE172:AI172)+AJ172</f>
        <v>0</v>
      </c>
      <c r="AC172" s="267"/>
      <c r="AD172" s="545">
        <f t="shared" si="76"/>
        <v>0</v>
      </c>
      <c r="AE172" s="62"/>
      <c r="AF172" s="73"/>
      <c r="AG172" s="73"/>
      <c r="AH172" s="73"/>
      <c r="AI172" s="74"/>
      <c r="AJ172" s="75">
        <f>+S172</f>
        <v>0</v>
      </c>
      <c r="AK172" s="467"/>
      <c r="AL172" s="481" t="s">
        <v>5439</v>
      </c>
      <c r="AM172" s="468" t="str">
        <f t="shared" si="68"/>
        <v>1554</v>
      </c>
      <c r="AN172" s="469" t="str">
        <f t="shared" si="71"/>
        <v>1554</v>
      </c>
      <c r="AO172" s="463">
        <v>1554</v>
      </c>
      <c r="AP172" s="463"/>
      <c r="AR172" s="71">
        <f>U174+AB172-AJ172</f>
        <v>0</v>
      </c>
      <c r="AS172" s="64"/>
      <c r="AT172" s="65"/>
      <c r="AU172" s="66"/>
      <c r="AV172" s="67" t="e">
        <f>#REF!-#REF!</f>
        <v>#REF!</v>
      </c>
    </row>
    <row r="173" spans="1:48" ht="25.5" customHeight="1" outlineLevel="2">
      <c r="B173" s="569"/>
      <c r="C173" s="667"/>
      <c r="E173" s="407"/>
      <c r="F173" s="428"/>
      <c r="G173" s="409"/>
      <c r="H173" s="429"/>
      <c r="I173" s="411"/>
      <c r="J173" s="459"/>
      <c r="K173" s="437"/>
      <c r="L173" s="413"/>
      <c r="M173" s="464" t="s">
        <v>13</v>
      </c>
      <c r="N173" s="415"/>
      <c r="O173" s="280"/>
      <c r="P173" s="465"/>
      <c r="Q173" s="263"/>
      <c r="R173" s="284"/>
      <c r="S173" s="285"/>
      <c r="T173" s="466"/>
      <c r="U173" s="418"/>
      <c r="V173" s="43"/>
      <c r="W173" s="44"/>
      <c r="X173" s="58"/>
      <c r="Y173" s="46"/>
      <c r="Z173" s="46"/>
      <c r="AA173" s="47"/>
      <c r="AB173" s="48"/>
      <c r="AC173" s="265"/>
      <c r="AD173" s="424">
        <f t="shared" si="76"/>
        <v>0</v>
      </c>
      <c r="AE173" s="49"/>
      <c r="AF173" s="50"/>
      <c r="AG173" s="50"/>
      <c r="AH173" s="50"/>
      <c r="AI173" s="51"/>
      <c r="AJ173" s="52"/>
      <c r="AK173" s="462"/>
      <c r="AL173" s="396"/>
      <c r="AM173" s="308"/>
      <c r="AN173" s="369"/>
      <c r="AR173" s="47"/>
      <c r="AS173" s="54"/>
      <c r="AT173" s="55"/>
      <c r="AU173" s="56"/>
      <c r="AV173" s="57"/>
    </row>
    <row r="174" spans="1:48" s="470" customFormat="1" ht="25.5" customHeight="1" outlineLevel="2">
      <c r="A174" s="463" t="s">
        <v>4454</v>
      </c>
      <c r="B174" s="485"/>
      <c r="C174" s="472" t="s">
        <v>4507</v>
      </c>
      <c r="D174" s="463" t="s">
        <v>4454</v>
      </c>
      <c r="E174" s="473"/>
      <c r="F174" s="474" t="s">
        <v>4561</v>
      </c>
      <c r="G174" s="475"/>
      <c r="H174" s="486"/>
      <c r="I174" s="476"/>
      <c r="J174" s="477"/>
      <c r="K174" s="437"/>
      <c r="L174" s="487"/>
      <c r="M174" s="464" t="s">
        <v>13</v>
      </c>
      <c r="N174" s="488"/>
      <c r="O174" s="280">
        <v>0</v>
      </c>
      <c r="P174" s="465"/>
      <c r="Q174" s="263">
        <f>R174+S174</f>
        <v>0</v>
      </c>
      <c r="R174" s="278"/>
      <c r="S174" s="279"/>
      <c r="T174" s="466"/>
      <c r="U174" s="418">
        <v>0</v>
      </c>
      <c r="V174" s="61"/>
      <c r="W174" s="68"/>
      <c r="X174" s="79"/>
      <c r="Y174" s="70"/>
      <c r="Z174" s="70"/>
      <c r="AA174" s="63">
        <f>Q174+AB174-AJ174</f>
        <v>0</v>
      </c>
      <c r="AB174" s="72"/>
      <c r="AC174" s="267"/>
      <c r="AD174" s="545">
        <f t="shared" si="76"/>
        <v>0</v>
      </c>
      <c r="AE174" s="62"/>
      <c r="AF174" s="73"/>
      <c r="AG174" s="73"/>
      <c r="AH174" s="73"/>
      <c r="AI174" s="74"/>
      <c r="AJ174" s="75">
        <f>+S174</f>
        <v>0</v>
      </c>
      <c r="AK174" s="467"/>
      <c r="AL174" s="546"/>
      <c r="AM174" s="468" t="str">
        <f t="shared" ref="AM174:AM205" si="77">I174&amp;J174</f>
        <v/>
      </c>
      <c r="AN174" s="469" t="str">
        <f t="shared" ref="AN174:AN205" si="78">I174&amp;J174</f>
        <v/>
      </c>
      <c r="AO174" s="463" t="s">
        <v>4454</v>
      </c>
      <c r="AP174" s="463"/>
      <c r="AR174" s="63"/>
      <c r="AS174" s="64"/>
      <c r="AT174" s="65"/>
      <c r="AU174" s="66"/>
      <c r="AV174" s="67" t="e">
        <f>#REF!-#REF!</f>
        <v>#REF!</v>
      </c>
    </row>
    <row r="175" spans="1:48" customFormat="1" ht="25.5" customHeight="1" outlineLevel="2" thickBot="1">
      <c r="A175" s="542">
        <v>1551</v>
      </c>
      <c r="B175" s="490" t="s">
        <v>4500</v>
      </c>
      <c r="C175" s="458" t="s">
        <v>4507</v>
      </c>
      <c r="D175" s="542">
        <v>1551</v>
      </c>
      <c r="E175" s="407" t="s">
        <v>4553</v>
      </c>
      <c r="F175" s="428" t="s">
        <v>4561</v>
      </c>
      <c r="G175" s="409"/>
      <c r="H175" s="429" t="s">
        <v>4562</v>
      </c>
      <c r="I175" s="411">
        <v>15</v>
      </c>
      <c r="J175" s="459" t="s">
        <v>4527</v>
      </c>
      <c r="K175" s="560"/>
      <c r="L175" s="413"/>
      <c r="M175" s="464" t="s">
        <v>13</v>
      </c>
      <c r="N175" s="415"/>
      <c r="O175" s="280">
        <v>50000</v>
      </c>
      <c r="P175" s="465">
        <v>50000</v>
      </c>
      <c r="Q175" s="263">
        <f>R175+S175</f>
        <v>50000</v>
      </c>
      <c r="R175" s="284">
        <v>50000</v>
      </c>
      <c r="S175" s="285"/>
      <c r="T175" s="466">
        <v>50000</v>
      </c>
      <c r="U175" s="561">
        <v>50000</v>
      </c>
      <c r="V175" s="43"/>
      <c r="W175" s="44"/>
      <c r="X175" s="45">
        <v>43200</v>
      </c>
      <c r="Y175" s="46"/>
      <c r="Z175" s="46"/>
      <c r="AA175" s="130">
        <f>Q175+AB175-AJ175</f>
        <v>50000</v>
      </c>
      <c r="AB175" s="142"/>
      <c r="AC175" s="562"/>
      <c r="AD175" s="424">
        <f t="shared" si="76"/>
        <v>0</v>
      </c>
      <c r="AE175" s="49"/>
      <c r="AF175" s="50"/>
      <c r="AG175" s="50"/>
      <c r="AH175" s="50"/>
      <c r="AI175" s="51"/>
      <c r="AJ175" s="52">
        <f>+S175</f>
        <v>0</v>
      </c>
      <c r="AK175" s="462"/>
      <c r="AL175" s="442"/>
      <c r="AM175" s="308" t="str">
        <f t="shared" si="77"/>
        <v>1551</v>
      </c>
      <c r="AN175" s="369" t="str">
        <f t="shared" si="78"/>
        <v>1551</v>
      </c>
      <c r="AO175" s="542">
        <v>1551</v>
      </c>
      <c r="AP175" s="542"/>
      <c r="AR175" s="130"/>
      <c r="AS175" s="54"/>
      <c r="AT175" s="55"/>
      <c r="AU175" s="41"/>
      <c r="AV175" s="57" t="e">
        <f>#REF!-#REF!</f>
        <v>#REF!</v>
      </c>
    </row>
    <row r="176" spans="1:48" ht="25.5" customHeight="1" outlineLevel="1" thickBot="1">
      <c r="A176" s="291" t="s">
        <v>4454</v>
      </c>
      <c r="B176" s="507"/>
      <c r="C176" s="508">
        <v>21</v>
      </c>
      <c r="D176" s="291" t="s">
        <v>4454</v>
      </c>
      <c r="E176" s="509"/>
      <c r="F176" s="510" t="s">
        <v>4563</v>
      </c>
      <c r="G176" s="511"/>
      <c r="H176" s="512"/>
      <c r="I176" s="513"/>
      <c r="J176" s="514"/>
      <c r="K176" s="515"/>
      <c r="L176" s="516"/>
      <c r="M176" s="517"/>
      <c r="N176" s="518"/>
      <c r="O176" s="519">
        <v>650000</v>
      </c>
      <c r="P176" s="520"/>
      <c r="Q176" s="521">
        <f>SUBTOTAL(9,Q170:Q175)</f>
        <v>650000</v>
      </c>
      <c r="R176" s="522">
        <f>SUBTOTAL(9,R170:R175)</f>
        <v>50000</v>
      </c>
      <c r="S176" s="523">
        <f>SUBTOTAL(9,S170:S175)</f>
        <v>600000</v>
      </c>
      <c r="T176" s="524"/>
      <c r="U176" s="548">
        <v>650000</v>
      </c>
      <c r="V176" s="94"/>
      <c r="W176" s="95"/>
      <c r="X176" s="96"/>
      <c r="Y176" s="97"/>
      <c r="Z176" s="97"/>
      <c r="AA176" s="98">
        <f t="shared" ref="AA176:AK176" si="79">SUBTOTAL(9,AA170:AA175)</f>
        <v>650000</v>
      </c>
      <c r="AB176" s="176">
        <f>SUBTOTAL(9,AB170:AB175)</f>
        <v>600000</v>
      </c>
      <c r="AC176" s="273"/>
      <c r="AD176" s="526">
        <f>SUM(AE176:AJ176)</f>
        <v>600000</v>
      </c>
      <c r="AE176" s="100">
        <f t="shared" si="79"/>
        <v>0</v>
      </c>
      <c r="AF176" s="101">
        <f t="shared" si="79"/>
        <v>0</v>
      </c>
      <c r="AG176" s="101">
        <f t="shared" si="79"/>
        <v>0</v>
      </c>
      <c r="AH176" s="101">
        <f t="shared" si="79"/>
        <v>0</v>
      </c>
      <c r="AI176" s="102">
        <f t="shared" si="79"/>
        <v>0</v>
      </c>
      <c r="AJ176" s="103">
        <f t="shared" si="79"/>
        <v>600000</v>
      </c>
      <c r="AK176" s="527">
        <f t="shared" si="79"/>
        <v>50000</v>
      </c>
      <c r="AL176" s="663"/>
      <c r="AM176" s="308" t="str">
        <f t="shared" si="77"/>
        <v/>
      </c>
      <c r="AN176" s="369" t="str">
        <f t="shared" si="78"/>
        <v/>
      </c>
      <c r="AO176" s="291" t="s">
        <v>4454</v>
      </c>
      <c r="AR176" s="106">
        <f>SUBTOTAL(9,AR170:AR175)</f>
        <v>0</v>
      </c>
      <c r="AS176" s="107"/>
      <c r="AT176" s="108">
        <f>SUBTOTAL(9,AT170:AT175)</f>
        <v>0</v>
      </c>
      <c r="AU176" s="109"/>
      <c r="AV176" s="110" t="e">
        <f>SUBTOTAL(9,AV170:AV175)</f>
        <v>#REF!</v>
      </c>
    </row>
    <row r="177" spans="1:48" ht="25.5" customHeight="1" outlineLevel="2">
      <c r="A177" s="291">
        <v>2151</v>
      </c>
      <c r="B177" s="569" t="s">
        <v>4530</v>
      </c>
      <c r="C177" s="667">
        <v>52</v>
      </c>
      <c r="D177" s="291">
        <v>2151</v>
      </c>
      <c r="E177" s="407" t="s">
        <v>4460</v>
      </c>
      <c r="F177" s="428" t="s">
        <v>5562</v>
      </c>
      <c r="G177" s="409"/>
      <c r="H177" s="410" t="s">
        <v>5563</v>
      </c>
      <c r="I177" s="411">
        <v>21</v>
      </c>
      <c r="J177" s="459" t="s">
        <v>4527</v>
      </c>
      <c r="K177" s="460">
        <v>60</v>
      </c>
      <c r="L177" s="413">
        <v>44360</v>
      </c>
      <c r="M177" s="414" t="s">
        <v>13</v>
      </c>
      <c r="N177" s="415">
        <v>44388</v>
      </c>
      <c r="O177" s="280">
        <v>300000</v>
      </c>
      <c r="P177" s="465">
        <v>300000</v>
      </c>
      <c r="Q177" s="263">
        <f t="shared" ref="Q177:Q192" si="80">R177+S177</f>
        <v>300000</v>
      </c>
      <c r="R177" s="284">
        <v>100000</v>
      </c>
      <c r="S177" s="59">
        <v>200000</v>
      </c>
      <c r="T177" s="466">
        <v>300000</v>
      </c>
      <c r="U177" s="672">
        <v>300000</v>
      </c>
      <c r="V177" s="43"/>
      <c r="W177" s="44"/>
      <c r="X177" s="58" t="s">
        <v>4506</v>
      </c>
      <c r="Y177" s="46"/>
      <c r="Z177" s="46"/>
      <c r="AA177" s="47">
        <f t="shared" ref="AA177:AA192" si="81">Q177+AB177-AJ177</f>
        <v>300000</v>
      </c>
      <c r="AB177" s="48">
        <f t="shared" ref="AB177:AB188" si="82">SUM(AE177:AI177)+AJ177</f>
        <v>200000</v>
      </c>
      <c r="AC177" s="265"/>
      <c r="AD177" s="424">
        <f t="shared" ref="AD177:AD192" si="83">SUM(AE177:AJ177)-AJ177</f>
        <v>0</v>
      </c>
      <c r="AE177" s="49"/>
      <c r="AF177" s="50"/>
      <c r="AG177" s="50"/>
      <c r="AH177" s="50"/>
      <c r="AI177" s="51"/>
      <c r="AJ177" s="52">
        <f t="shared" ref="AJ177:AJ192" si="84">+S177</f>
        <v>200000</v>
      </c>
      <c r="AK177" s="462"/>
      <c r="AL177" s="396" t="s">
        <v>5439</v>
      </c>
      <c r="AM177" s="308" t="str">
        <f t="shared" si="77"/>
        <v>2151</v>
      </c>
      <c r="AN177" s="369" t="str">
        <f t="shared" si="78"/>
        <v>2151</v>
      </c>
      <c r="AO177" s="291">
        <v>2151</v>
      </c>
      <c r="AR177" s="47">
        <f>U179+AB177-AJ177</f>
        <v>800000</v>
      </c>
      <c r="AS177" s="54"/>
      <c r="AT177" s="55"/>
      <c r="AU177" s="56"/>
      <c r="AV177" s="57" t="e">
        <f>#REF!-#REF!</f>
        <v>#REF!</v>
      </c>
    </row>
    <row r="178" spans="1:48" ht="25.5" customHeight="1" outlineLevel="2">
      <c r="A178" s="291">
        <v>2152</v>
      </c>
      <c r="B178" s="569" t="s">
        <v>4530</v>
      </c>
      <c r="C178" s="667">
        <v>52</v>
      </c>
      <c r="D178" s="291">
        <v>2152</v>
      </c>
      <c r="E178" s="407" t="s">
        <v>4460</v>
      </c>
      <c r="F178" s="428" t="s">
        <v>5562</v>
      </c>
      <c r="G178" s="409"/>
      <c r="H178" s="410" t="s">
        <v>5564</v>
      </c>
      <c r="I178" s="411">
        <v>21</v>
      </c>
      <c r="J178" s="459" t="s">
        <v>4564</v>
      </c>
      <c r="K178" s="460">
        <v>61</v>
      </c>
      <c r="L178" s="413">
        <v>44535</v>
      </c>
      <c r="M178" s="464" t="s">
        <v>13</v>
      </c>
      <c r="N178" s="415">
        <v>44549</v>
      </c>
      <c r="O178" s="280">
        <v>200000</v>
      </c>
      <c r="P178" s="465">
        <v>200000</v>
      </c>
      <c r="Q178" s="263">
        <f t="shared" si="80"/>
        <v>200000</v>
      </c>
      <c r="R178" s="284">
        <v>100000</v>
      </c>
      <c r="S178" s="59">
        <v>100000</v>
      </c>
      <c r="T178" s="466">
        <v>200000</v>
      </c>
      <c r="U178" s="544">
        <v>200000</v>
      </c>
      <c r="V178" s="43"/>
      <c r="W178" s="44"/>
      <c r="X178" s="58" t="s">
        <v>4506</v>
      </c>
      <c r="Y178" s="46"/>
      <c r="Z178" s="46"/>
      <c r="AA178" s="47">
        <f t="shared" si="81"/>
        <v>200000</v>
      </c>
      <c r="AB178" s="48">
        <f t="shared" si="82"/>
        <v>100000</v>
      </c>
      <c r="AC178" s="265"/>
      <c r="AD178" s="424">
        <f t="shared" si="83"/>
        <v>0</v>
      </c>
      <c r="AE178" s="49"/>
      <c r="AF178" s="50"/>
      <c r="AG178" s="50"/>
      <c r="AH178" s="50"/>
      <c r="AI178" s="51"/>
      <c r="AJ178" s="52">
        <f t="shared" si="84"/>
        <v>100000</v>
      </c>
      <c r="AK178" s="462"/>
      <c r="AL178" s="396" t="s">
        <v>5439</v>
      </c>
      <c r="AM178" s="308" t="str">
        <f t="shared" si="77"/>
        <v>2152</v>
      </c>
      <c r="AN178" s="369" t="str">
        <f t="shared" si="78"/>
        <v>2152</v>
      </c>
      <c r="AO178" s="291">
        <v>2152</v>
      </c>
      <c r="AR178" s="47">
        <f>U180+AB178-AJ178</f>
        <v>100000</v>
      </c>
      <c r="AS178" s="54"/>
      <c r="AT178" s="55"/>
      <c r="AU178" s="56"/>
      <c r="AV178" s="57" t="e">
        <f>#REF!-#REF!</f>
        <v>#REF!</v>
      </c>
    </row>
    <row r="179" spans="1:48" ht="25.5" customHeight="1" outlineLevel="2">
      <c r="A179" s="291">
        <v>2153</v>
      </c>
      <c r="B179" s="569" t="s">
        <v>4530</v>
      </c>
      <c r="C179" s="667">
        <v>52</v>
      </c>
      <c r="D179" s="291">
        <v>2153</v>
      </c>
      <c r="E179" s="407" t="s">
        <v>4460</v>
      </c>
      <c r="F179" s="428" t="s">
        <v>5562</v>
      </c>
      <c r="G179" s="409">
        <v>29</v>
      </c>
      <c r="H179" s="410" t="s">
        <v>5565</v>
      </c>
      <c r="I179" s="411">
        <v>21</v>
      </c>
      <c r="J179" s="459" t="s">
        <v>4565</v>
      </c>
      <c r="K179" s="460">
        <v>62</v>
      </c>
      <c r="L179" s="673">
        <v>44324</v>
      </c>
      <c r="M179" s="414" t="s">
        <v>13</v>
      </c>
      <c r="N179" s="674">
        <v>44255</v>
      </c>
      <c r="O179" s="280">
        <v>800000</v>
      </c>
      <c r="P179" s="465">
        <v>800000</v>
      </c>
      <c r="Q179" s="263">
        <f t="shared" si="80"/>
        <v>800000</v>
      </c>
      <c r="R179" s="284">
        <v>300000</v>
      </c>
      <c r="S179" s="59">
        <v>500000</v>
      </c>
      <c r="T179" s="466">
        <v>800000</v>
      </c>
      <c r="U179" s="544">
        <v>800000</v>
      </c>
      <c r="V179" s="43"/>
      <c r="W179" s="44"/>
      <c r="X179" s="58" t="s">
        <v>4506</v>
      </c>
      <c r="Y179" s="46"/>
      <c r="Z179" s="46"/>
      <c r="AA179" s="47">
        <f t="shared" si="81"/>
        <v>800000</v>
      </c>
      <c r="AB179" s="48">
        <f t="shared" si="82"/>
        <v>500000</v>
      </c>
      <c r="AC179" s="265"/>
      <c r="AD179" s="424">
        <f t="shared" si="83"/>
        <v>0</v>
      </c>
      <c r="AE179" s="145"/>
      <c r="AF179" s="50"/>
      <c r="AG179" s="50"/>
      <c r="AH179" s="50"/>
      <c r="AI179" s="60"/>
      <c r="AJ179" s="52">
        <f t="shared" si="84"/>
        <v>500000</v>
      </c>
      <c r="AK179" s="462"/>
      <c r="AL179" s="396" t="s">
        <v>5439</v>
      </c>
      <c r="AM179" s="308" t="str">
        <f t="shared" si="77"/>
        <v>2153</v>
      </c>
      <c r="AN179" s="369" t="str">
        <f t="shared" si="78"/>
        <v>2153</v>
      </c>
      <c r="AO179" s="291">
        <v>2153</v>
      </c>
      <c r="AR179" s="47">
        <f>U181+AB179-AJ179</f>
        <v>150000</v>
      </c>
      <c r="AS179" s="54"/>
      <c r="AT179" s="55"/>
      <c r="AU179" s="56"/>
      <c r="AV179" s="57" t="e">
        <f>#REF!-#REF!</f>
        <v>#REF!</v>
      </c>
    </row>
    <row r="180" spans="1:48" ht="25.5" customHeight="1" outlineLevel="2">
      <c r="A180" s="291">
        <v>2154</v>
      </c>
      <c r="B180" s="569" t="s">
        <v>4530</v>
      </c>
      <c r="C180" s="667">
        <v>52</v>
      </c>
      <c r="D180" s="291">
        <v>2154</v>
      </c>
      <c r="E180" s="407" t="s">
        <v>4460</v>
      </c>
      <c r="F180" s="428" t="s">
        <v>5562</v>
      </c>
      <c r="G180" s="409"/>
      <c r="H180" s="410" t="s">
        <v>5566</v>
      </c>
      <c r="I180" s="411">
        <v>21</v>
      </c>
      <c r="J180" s="459" t="s">
        <v>4566</v>
      </c>
      <c r="K180" s="460">
        <v>63</v>
      </c>
      <c r="L180" s="413">
        <v>44440</v>
      </c>
      <c r="M180" s="464" t="s">
        <v>13</v>
      </c>
      <c r="N180" s="415">
        <v>44499</v>
      </c>
      <c r="O180" s="280">
        <v>100000</v>
      </c>
      <c r="P180" s="465">
        <v>200000</v>
      </c>
      <c r="Q180" s="263">
        <f t="shared" si="80"/>
        <v>100000</v>
      </c>
      <c r="R180" s="284"/>
      <c r="S180" s="59">
        <v>100000</v>
      </c>
      <c r="T180" s="466">
        <v>200000</v>
      </c>
      <c r="U180" s="544">
        <v>100000</v>
      </c>
      <c r="V180" s="43"/>
      <c r="W180" s="44"/>
      <c r="X180" s="58" t="s">
        <v>4506</v>
      </c>
      <c r="Y180" s="46"/>
      <c r="Z180" s="46"/>
      <c r="AA180" s="129">
        <f t="shared" si="81"/>
        <v>100000</v>
      </c>
      <c r="AB180" s="48">
        <f t="shared" si="82"/>
        <v>100000</v>
      </c>
      <c r="AC180" s="265"/>
      <c r="AD180" s="424">
        <f t="shared" si="83"/>
        <v>0</v>
      </c>
      <c r="AE180" s="49"/>
      <c r="AF180" s="50"/>
      <c r="AG180" s="50"/>
      <c r="AH180" s="50"/>
      <c r="AI180" s="60"/>
      <c r="AJ180" s="52">
        <f t="shared" si="84"/>
        <v>100000</v>
      </c>
      <c r="AK180" s="462"/>
      <c r="AL180" s="396" t="s">
        <v>5439</v>
      </c>
      <c r="AM180" s="308" t="str">
        <f t="shared" si="77"/>
        <v>2154</v>
      </c>
      <c r="AN180" s="369" t="str">
        <f t="shared" si="78"/>
        <v>2154</v>
      </c>
      <c r="AO180" s="291">
        <v>2154</v>
      </c>
      <c r="AR180" s="129">
        <f>U182+AB180-AJ180</f>
        <v>150000</v>
      </c>
      <c r="AS180" s="54"/>
      <c r="AT180" s="55"/>
      <c r="AU180" s="56"/>
      <c r="AV180" s="57" t="e">
        <f>#REF!-#REF!</f>
        <v>#REF!</v>
      </c>
    </row>
    <row r="181" spans="1:48" ht="25.5" customHeight="1" outlineLevel="2">
      <c r="A181" s="291">
        <v>2155</v>
      </c>
      <c r="B181" s="569" t="s">
        <v>4530</v>
      </c>
      <c r="C181" s="667">
        <v>52</v>
      </c>
      <c r="D181" s="291">
        <v>2155</v>
      </c>
      <c r="E181" s="407" t="s">
        <v>4460</v>
      </c>
      <c r="F181" s="428" t="s">
        <v>5562</v>
      </c>
      <c r="G181" s="409"/>
      <c r="H181" s="410" t="s">
        <v>5567</v>
      </c>
      <c r="I181" s="411">
        <v>21</v>
      </c>
      <c r="J181" s="459" t="s">
        <v>4567</v>
      </c>
      <c r="K181" s="460">
        <v>64</v>
      </c>
      <c r="L181" s="413">
        <v>44436</v>
      </c>
      <c r="M181" s="464" t="s">
        <v>13</v>
      </c>
      <c r="N181" s="415">
        <v>44444</v>
      </c>
      <c r="O181" s="280">
        <v>150000</v>
      </c>
      <c r="P181" s="465">
        <v>150000</v>
      </c>
      <c r="Q181" s="263">
        <f t="shared" si="80"/>
        <v>150000</v>
      </c>
      <c r="R181" s="284">
        <v>50000</v>
      </c>
      <c r="S181" s="59">
        <v>100000</v>
      </c>
      <c r="T181" s="466">
        <v>150000</v>
      </c>
      <c r="U181" s="544">
        <v>150000</v>
      </c>
      <c r="V181" s="43"/>
      <c r="W181" s="44"/>
      <c r="X181" s="58" t="s">
        <v>4506</v>
      </c>
      <c r="Y181" s="46"/>
      <c r="Z181" s="46"/>
      <c r="AA181" s="47">
        <f t="shared" si="81"/>
        <v>150000</v>
      </c>
      <c r="AB181" s="48">
        <f t="shared" si="82"/>
        <v>100000</v>
      </c>
      <c r="AC181" s="265"/>
      <c r="AD181" s="424">
        <f t="shared" si="83"/>
        <v>0</v>
      </c>
      <c r="AE181" s="49"/>
      <c r="AF181" s="50"/>
      <c r="AG181" s="50"/>
      <c r="AH181" s="50"/>
      <c r="AI181" s="51"/>
      <c r="AJ181" s="52">
        <f t="shared" si="84"/>
        <v>100000</v>
      </c>
      <c r="AK181" s="462">
        <v>35000</v>
      </c>
      <c r="AL181" s="396" t="s">
        <v>5439</v>
      </c>
      <c r="AM181" s="308" t="str">
        <f t="shared" si="77"/>
        <v>2155</v>
      </c>
      <c r="AN181" s="369" t="str">
        <f t="shared" si="78"/>
        <v>2155</v>
      </c>
      <c r="AO181" s="291">
        <v>2155</v>
      </c>
      <c r="AR181" s="47">
        <f>U183+AB181-AJ181</f>
        <v>200000</v>
      </c>
      <c r="AS181" s="54"/>
      <c r="AT181" s="55"/>
      <c r="AU181" s="56"/>
      <c r="AV181" s="57" t="e">
        <f>#REF!-#REF!</f>
        <v>#REF!</v>
      </c>
    </row>
    <row r="182" spans="1:48" ht="25.5" customHeight="1" outlineLevel="2">
      <c r="A182" s="291">
        <v>2156</v>
      </c>
      <c r="B182" s="569" t="s">
        <v>4530</v>
      </c>
      <c r="C182" s="667">
        <v>52</v>
      </c>
      <c r="D182" s="291">
        <v>2156</v>
      </c>
      <c r="E182" s="407" t="s">
        <v>4460</v>
      </c>
      <c r="F182" s="428" t="s">
        <v>5562</v>
      </c>
      <c r="G182" s="409">
        <v>25</v>
      </c>
      <c r="H182" s="410" t="s">
        <v>5568</v>
      </c>
      <c r="I182" s="411">
        <v>21</v>
      </c>
      <c r="J182" s="459" t="s">
        <v>4568</v>
      </c>
      <c r="K182" s="460">
        <v>65</v>
      </c>
      <c r="L182" s="413">
        <v>44450</v>
      </c>
      <c r="M182" s="414" t="s">
        <v>13</v>
      </c>
      <c r="N182" s="415">
        <v>44493</v>
      </c>
      <c r="O182" s="280">
        <v>150000</v>
      </c>
      <c r="P182" s="465">
        <v>300000</v>
      </c>
      <c r="Q182" s="263">
        <f t="shared" si="80"/>
        <v>150000</v>
      </c>
      <c r="R182" s="284">
        <v>50000</v>
      </c>
      <c r="S182" s="59">
        <v>100000</v>
      </c>
      <c r="T182" s="466">
        <v>300000</v>
      </c>
      <c r="U182" s="544">
        <v>150000</v>
      </c>
      <c r="V182" s="43"/>
      <c r="W182" s="44"/>
      <c r="X182" s="58" t="s">
        <v>4506</v>
      </c>
      <c r="Y182" s="46"/>
      <c r="Z182" s="46"/>
      <c r="AA182" s="47">
        <f t="shared" si="81"/>
        <v>150000</v>
      </c>
      <c r="AB182" s="48">
        <f t="shared" si="82"/>
        <v>100000</v>
      </c>
      <c r="AC182" s="265"/>
      <c r="AD182" s="424">
        <f t="shared" si="83"/>
        <v>0</v>
      </c>
      <c r="AE182" s="49"/>
      <c r="AF182" s="50"/>
      <c r="AG182" s="50"/>
      <c r="AH182" s="50"/>
      <c r="AI182" s="51"/>
      <c r="AJ182" s="52">
        <f t="shared" si="84"/>
        <v>100000</v>
      </c>
      <c r="AK182" s="462"/>
      <c r="AL182" s="396" t="s">
        <v>5439</v>
      </c>
      <c r="AM182" s="308" t="str">
        <f t="shared" si="77"/>
        <v>2156</v>
      </c>
      <c r="AN182" s="369" t="str">
        <f t="shared" si="78"/>
        <v>2156</v>
      </c>
      <c r="AO182" s="291">
        <v>2156</v>
      </c>
      <c r="AR182" s="47">
        <f>U185+AB182</f>
        <v>100000</v>
      </c>
      <c r="AS182" s="54"/>
      <c r="AT182" s="55"/>
      <c r="AU182" s="56"/>
      <c r="AV182" s="57" t="e">
        <f>#REF!-#REF!</f>
        <v>#REF!</v>
      </c>
    </row>
    <row r="183" spans="1:48" ht="25.5" customHeight="1" outlineLevel="2">
      <c r="A183" s="291">
        <v>2157</v>
      </c>
      <c r="B183" s="569" t="s">
        <v>4530</v>
      </c>
      <c r="C183" s="667">
        <v>52</v>
      </c>
      <c r="D183" s="291">
        <v>2157</v>
      </c>
      <c r="E183" s="407" t="s">
        <v>4460</v>
      </c>
      <c r="F183" s="428" t="s">
        <v>5562</v>
      </c>
      <c r="G183" s="409">
        <v>16</v>
      </c>
      <c r="H183" s="410" t="s">
        <v>5569</v>
      </c>
      <c r="I183" s="411">
        <v>21</v>
      </c>
      <c r="J183" s="459" t="s">
        <v>4569</v>
      </c>
      <c r="K183" s="460">
        <v>66</v>
      </c>
      <c r="L183" s="413">
        <v>44296</v>
      </c>
      <c r="M183" s="414" t="s">
        <v>13</v>
      </c>
      <c r="N183" s="415">
        <v>44437</v>
      </c>
      <c r="O183" s="280">
        <v>200000</v>
      </c>
      <c r="P183" s="465">
        <v>350000</v>
      </c>
      <c r="Q183" s="263">
        <f t="shared" si="80"/>
        <v>200000</v>
      </c>
      <c r="R183" s="284">
        <v>50000</v>
      </c>
      <c r="S183" s="59">
        <v>150000</v>
      </c>
      <c r="T183" s="466">
        <v>350000</v>
      </c>
      <c r="U183" s="544">
        <v>200000</v>
      </c>
      <c r="V183" s="43"/>
      <c r="W183" s="44"/>
      <c r="X183" s="58" t="s">
        <v>4506</v>
      </c>
      <c r="Y183" s="46"/>
      <c r="Z183" s="46"/>
      <c r="AA183" s="47">
        <f t="shared" si="81"/>
        <v>200000</v>
      </c>
      <c r="AB183" s="48">
        <f t="shared" si="82"/>
        <v>150000</v>
      </c>
      <c r="AC183" s="265"/>
      <c r="AD183" s="424">
        <f t="shared" si="83"/>
        <v>0</v>
      </c>
      <c r="AE183" s="145"/>
      <c r="AF183" s="50"/>
      <c r="AG183" s="50"/>
      <c r="AH183" s="50"/>
      <c r="AI183" s="60"/>
      <c r="AJ183" s="52">
        <f t="shared" si="84"/>
        <v>150000</v>
      </c>
      <c r="AK183" s="462"/>
      <c r="AL183" s="396" t="s">
        <v>5439</v>
      </c>
      <c r="AM183" s="308" t="str">
        <f t="shared" si="77"/>
        <v>2157</v>
      </c>
      <c r="AN183" s="369" t="str">
        <f t="shared" si="78"/>
        <v>2157</v>
      </c>
      <c r="AO183" s="291">
        <v>2157</v>
      </c>
      <c r="AR183" s="47">
        <f>U186+AB183</f>
        <v>150000</v>
      </c>
      <c r="AS183" s="54"/>
      <c r="AT183" s="55"/>
      <c r="AU183" s="56"/>
      <c r="AV183" s="57" t="e">
        <f>#REF!-#REF!</f>
        <v>#REF!</v>
      </c>
    </row>
    <row r="184" spans="1:48" ht="25.5" customHeight="1" outlineLevel="2">
      <c r="A184" s="291" t="s">
        <v>4454</v>
      </c>
      <c r="B184" s="569" t="s">
        <v>4530</v>
      </c>
      <c r="C184" s="667">
        <v>52</v>
      </c>
      <c r="D184" s="291" t="s">
        <v>4454</v>
      </c>
      <c r="E184" s="407" t="s">
        <v>4460</v>
      </c>
      <c r="F184" s="428" t="s">
        <v>5562</v>
      </c>
      <c r="G184" s="409"/>
      <c r="H184" s="429" t="s">
        <v>5570</v>
      </c>
      <c r="I184" s="411"/>
      <c r="J184" s="459"/>
      <c r="K184" s="437"/>
      <c r="L184" s="675"/>
      <c r="M184" s="464" t="s">
        <v>13</v>
      </c>
      <c r="N184" s="676"/>
      <c r="O184" s="280">
        <v>200000</v>
      </c>
      <c r="P184" s="465">
        <v>200000</v>
      </c>
      <c r="Q184" s="263">
        <f t="shared" si="80"/>
        <v>0</v>
      </c>
      <c r="R184" s="284"/>
      <c r="S184" s="285"/>
      <c r="T184" s="466">
        <v>200000</v>
      </c>
      <c r="U184" s="544"/>
      <c r="V184" s="43"/>
      <c r="W184" s="44"/>
      <c r="X184" s="58"/>
      <c r="Y184" s="46"/>
      <c r="Z184" s="46"/>
      <c r="AA184" s="47">
        <f t="shared" si="81"/>
        <v>0</v>
      </c>
      <c r="AB184" s="48">
        <f t="shared" si="82"/>
        <v>0</v>
      </c>
      <c r="AC184" s="265"/>
      <c r="AD184" s="424">
        <f t="shared" si="83"/>
        <v>0</v>
      </c>
      <c r="AE184" s="145"/>
      <c r="AF184" s="50"/>
      <c r="AG184" s="50"/>
      <c r="AH184" s="50"/>
      <c r="AI184" s="60"/>
      <c r="AJ184" s="52">
        <f t="shared" si="84"/>
        <v>0</v>
      </c>
      <c r="AK184" s="462"/>
      <c r="AL184" s="396"/>
      <c r="AM184" s="308" t="str">
        <f t="shared" si="77"/>
        <v/>
      </c>
      <c r="AN184" s="369" t="str">
        <f t="shared" si="78"/>
        <v/>
      </c>
      <c r="AO184" s="291" t="s">
        <v>4454</v>
      </c>
      <c r="AR184" s="47">
        <f>U187+AB184</f>
        <v>0</v>
      </c>
      <c r="AS184" s="54"/>
      <c r="AT184" s="55"/>
      <c r="AU184" s="56"/>
      <c r="AV184" s="57" t="e">
        <f>#REF!-#REF!</f>
        <v>#REF!</v>
      </c>
    </row>
    <row r="185" spans="1:48" s="470" customFormat="1" ht="25.5" customHeight="1" outlineLevel="2">
      <c r="A185" s="463" t="s">
        <v>4454</v>
      </c>
      <c r="B185" s="485" t="s">
        <v>4530</v>
      </c>
      <c r="C185" s="669">
        <v>52</v>
      </c>
      <c r="D185" s="463" t="s">
        <v>4454</v>
      </c>
      <c r="E185" s="473" t="s">
        <v>4558</v>
      </c>
      <c r="F185" s="474" t="s">
        <v>5562</v>
      </c>
      <c r="G185" s="475"/>
      <c r="H185" s="486" t="s">
        <v>5571</v>
      </c>
      <c r="I185" s="677"/>
      <c r="J185" s="678"/>
      <c r="K185" s="478"/>
      <c r="L185" s="487"/>
      <c r="M185" s="464" t="s">
        <v>13</v>
      </c>
      <c r="N185" s="623"/>
      <c r="O185" s="280">
        <v>0</v>
      </c>
      <c r="P185" s="465"/>
      <c r="Q185" s="479">
        <f t="shared" si="80"/>
        <v>0</v>
      </c>
      <c r="R185" s="278"/>
      <c r="S185" s="279"/>
      <c r="T185" s="466"/>
      <c r="U185" s="544">
        <v>0</v>
      </c>
      <c r="V185" s="61"/>
      <c r="W185" s="68"/>
      <c r="X185" s="164">
        <f>+N185+14</f>
        <v>14</v>
      </c>
      <c r="Y185" s="70"/>
      <c r="Z185" s="70"/>
      <c r="AA185" s="71">
        <f t="shared" si="81"/>
        <v>0</v>
      </c>
      <c r="AB185" s="166">
        <f t="shared" si="82"/>
        <v>0</v>
      </c>
      <c r="AC185" s="281"/>
      <c r="AD185" s="624">
        <f t="shared" si="83"/>
        <v>0</v>
      </c>
      <c r="AE185" s="62"/>
      <c r="AF185" s="73"/>
      <c r="AG185" s="73"/>
      <c r="AH185" s="73"/>
      <c r="AI185" s="74"/>
      <c r="AJ185" s="75">
        <f t="shared" si="84"/>
        <v>0</v>
      </c>
      <c r="AK185" s="467"/>
      <c r="AL185" s="546"/>
      <c r="AM185" s="468" t="str">
        <f t="shared" si="77"/>
        <v/>
      </c>
      <c r="AN185" s="469" t="str">
        <f t="shared" si="78"/>
        <v/>
      </c>
      <c r="AO185" s="463" t="s">
        <v>4454</v>
      </c>
      <c r="AP185" s="463"/>
      <c r="AR185" s="71">
        <f>U188</f>
        <v>0</v>
      </c>
      <c r="AS185" s="64"/>
      <c r="AT185" s="65"/>
      <c r="AU185" s="66"/>
      <c r="AV185" s="67" t="e">
        <f>#REF!-#REF!</f>
        <v>#REF!</v>
      </c>
    </row>
    <row r="186" spans="1:48" customFormat="1" ht="25.5" customHeight="1" outlineLevel="2">
      <c r="A186" s="542">
        <v>2251</v>
      </c>
      <c r="B186" s="679" t="s">
        <v>4530</v>
      </c>
      <c r="C186" s="680">
        <v>52</v>
      </c>
      <c r="D186" s="542">
        <v>2251</v>
      </c>
      <c r="E186" s="633" t="s">
        <v>4461</v>
      </c>
      <c r="F186" s="634" t="s">
        <v>5562</v>
      </c>
      <c r="G186" s="635">
        <v>25</v>
      </c>
      <c r="H186" s="636" t="s">
        <v>5572</v>
      </c>
      <c r="I186" s="637">
        <v>22</v>
      </c>
      <c r="J186" s="638" t="s">
        <v>4527</v>
      </c>
      <c r="K186" s="639"/>
      <c r="L186" s="640">
        <v>44471</v>
      </c>
      <c r="M186" s="641" t="s">
        <v>13</v>
      </c>
      <c r="N186" s="642">
        <v>44493</v>
      </c>
      <c r="O186" s="643">
        <v>0</v>
      </c>
      <c r="P186" s="644">
        <v>270000</v>
      </c>
      <c r="Q186" s="645">
        <f t="shared" si="80"/>
        <v>370000</v>
      </c>
      <c r="R186" s="646">
        <v>270000</v>
      </c>
      <c r="S186" s="441">
        <v>100000</v>
      </c>
      <c r="T186" s="647">
        <v>370000</v>
      </c>
      <c r="U186" s="681">
        <v>0</v>
      </c>
      <c r="V186" s="649"/>
      <c r="W186" s="650"/>
      <c r="X186" s="651">
        <f>+N186+14</f>
        <v>44507</v>
      </c>
      <c r="Y186" s="652"/>
      <c r="Z186" s="652"/>
      <c r="AA186" s="682">
        <f t="shared" si="81"/>
        <v>370000</v>
      </c>
      <c r="AB186" s="683">
        <f t="shared" si="82"/>
        <v>100000</v>
      </c>
      <c r="AC186" s="684"/>
      <c r="AD186" s="656">
        <f t="shared" si="83"/>
        <v>0</v>
      </c>
      <c r="AE186" s="657"/>
      <c r="AF186" s="658"/>
      <c r="AG186" s="658"/>
      <c r="AH186" s="658"/>
      <c r="AI186" s="659"/>
      <c r="AJ186" s="660">
        <f t="shared" si="84"/>
        <v>100000</v>
      </c>
      <c r="AK186" s="661"/>
      <c r="AL186" s="662" t="s">
        <v>5222</v>
      </c>
      <c r="AM186" s="308" t="str">
        <f t="shared" si="77"/>
        <v>2251</v>
      </c>
      <c r="AN186" s="369" t="str">
        <f t="shared" si="78"/>
        <v>2251</v>
      </c>
      <c r="AO186" s="542">
        <v>2251</v>
      </c>
      <c r="AP186" s="542"/>
      <c r="AR186" s="168"/>
      <c r="AS186" s="54"/>
      <c r="AT186" s="55"/>
      <c r="AU186" s="41"/>
      <c r="AV186" s="57" t="e">
        <f>#REF!-#REF!</f>
        <v>#REF!</v>
      </c>
    </row>
    <row r="187" spans="1:48" s="470" customFormat="1" ht="25.5" customHeight="1" outlineLevel="2">
      <c r="A187" s="463" t="s">
        <v>4454</v>
      </c>
      <c r="B187" s="485" t="s">
        <v>4530</v>
      </c>
      <c r="C187" s="669">
        <v>52</v>
      </c>
      <c r="D187" s="463" t="s">
        <v>4454</v>
      </c>
      <c r="E187" s="473" t="s">
        <v>4461</v>
      </c>
      <c r="F187" s="474" t="s">
        <v>5562</v>
      </c>
      <c r="G187" s="475"/>
      <c r="H187" s="670" t="s">
        <v>5573</v>
      </c>
      <c r="I187" s="476"/>
      <c r="J187" s="477"/>
      <c r="K187" s="685"/>
      <c r="L187" s="487"/>
      <c r="M187" s="464" t="s">
        <v>13</v>
      </c>
      <c r="N187" s="488"/>
      <c r="O187" s="280">
        <v>0</v>
      </c>
      <c r="P187" s="465"/>
      <c r="Q187" s="263">
        <f t="shared" si="80"/>
        <v>0</v>
      </c>
      <c r="R187" s="278"/>
      <c r="S187" s="279"/>
      <c r="T187" s="466"/>
      <c r="U187" s="544">
        <v>0</v>
      </c>
      <c r="V187" s="61"/>
      <c r="W187" s="68"/>
      <c r="X187" s="184">
        <v>42190</v>
      </c>
      <c r="Y187" s="70"/>
      <c r="Z187" s="70"/>
      <c r="AA187" s="71">
        <f t="shared" si="81"/>
        <v>0</v>
      </c>
      <c r="AB187" s="166">
        <f t="shared" si="82"/>
        <v>0</v>
      </c>
      <c r="AC187" s="281"/>
      <c r="AD187" s="545">
        <f t="shared" si="83"/>
        <v>0</v>
      </c>
      <c r="AE187" s="62"/>
      <c r="AF187" s="73"/>
      <c r="AG187" s="73"/>
      <c r="AH187" s="73"/>
      <c r="AI187" s="74"/>
      <c r="AJ187" s="75">
        <f t="shared" si="84"/>
        <v>0</v>
      </c>
      <c r="AK187" s="467"/>
      <c r="AL187" s="546" t="s">
        <v>4570</v>
      </c>
      <c r="AM187" s="468" t="str">
        <f t="shared" si="77"/>
        <v/>
      </c>
      <c r="AN187" s="469" t="str">
        <f t="shared" si="78"/>
        <v/>
      </c>
      <c r="AO187" s="463" t="s">
        <v>4454</v>
      </c>
      <c r="AP187" s="463"/>
      <c r="AR187" s="71">
        <f>U190</f>
        <v>0</v>
      </c>
      <c r="AS187" s="64"/>
      <c r="AT187" s="65"/>
      <c r="AU187" s="66"/>
      <c r="AV187" s="67" t="e">
        <f>#REF!-#REF!</f>
        <v>#REF!</v>
      </c>
    </row>
    <row r="188" spans="1:48" s="470" customFormat="1" ht="25.5" customHeight="1" outlineLevel="2">
      <c r="A188" s="463" t="s">
        <v>4454</v>
      </c>
      <c r="B188" s="485" t="s">
        <v>4530</v>
      </c>
      <c r="C188" s="669">
        <v>52</v>
      </c>
      <c r="D188" s="463" t="s">
        <v>4454</v>
      </c>
      <c r="E188" s="473" t="s">
        <v>4461</v>
      </c>
      <c r="F188" s="474" t="s">
        <v>5562</v>
      </c>
      <c r="G188" s="475"/>
      <c r="H188" s="570" t="s">
        <v>5574</v>
      </c>
      <c r="I188" s="476"/>
      <c r="J188" s="477"/>
      <c r="K188" s="437"/>
      <c r="L188" s="487"/>
      <c r="M188" s="464" t="s">
        <v>13</v>
      </c>
      <c r="N188" s="488"/>
      <c r="O188" s="280">
        <v>0</v>
      </c>
      <c r="P188" s="465"/>
      <c r="Q188" s="263">
        <f t="shared" si="80"/>
        <v>0</v>
      </c>
      <c r="R188" s="278"/>
      <c r="S188" s="279"/>
      <c r="T188" s="466"/>
      <c r="U188" s="544">
        <v>0</v>
      </c>
      <c r="V188" s="61"/>
      <c r="W188" s="68"/>
      <c r="X188" s="79"/>
      <c r="Y188" s="70"/>
      <c r="Z188" s="70"/>
      <c r="AA188" s="71">
        <f t="shared" si="81"/>
        <v>0</v>
      </c>
      <c r="AB188" s="166">
        <f t="shared" si="82"/>
        <v>0</v>
      </c>
      <c r="AC188" s="281"/>
      <c r="AD188" s="545">
        <f t="shared" si="83"/>
        <v>0</v>
      </c>
      <c r="AE188" s="62"/>
      <c r="AF188" s="73"/>
      <c r="AG188" s="73"/>
      <c r="AH188" s="73"/>
      <c r="AI188" s="74"/>
      <c r="AJ188" s="75">
        <f t="shared" si="84"/>
        <v>0</v>
      </c>
      <c r="AK188" s="467"/>
      <c r="AL188" s="546" t="s">
        <v>4570</v>
      </c>
      <c r="AM188" s="468" t="str">
        <f t="shared" si="77"/>
        <v/>
      </c>
      <c r="AN188" s="469" t="str">
        <f t="shared" si="78"/>
        <v/>
      </c>
      <c r="AO188" s="463" t="s">
        <v>4454</v>
      </c>
      <c r="AP188" s="463"/>
      <c r="AR188" s="71"/>
      <c r="AS188" s="64"/>
      <c r="AT188" s="65"/>
      <c r="AU188" s="66"/>
      <c r="AV188" s="67" t="e">
        <f>#REF!-#REF!</f>
        <v>#REF!</v>
      </c>
    </row>
    <row r="189" spans="1:48" s="470" customFormat="1" ht="25.5" customHeight="1" outlineLevel="2">
      <c r="A189" s="463">
        <v>2252</v>
      </c>
      <c r="B189" s="485" t="s">
        <v>4530</v>
      </c>
      <c r="C189" s="669">
        <v>52</v>
      </c>
      <c r="D189" s="463">
        <v>2252</v>
      </c>
      <c r="E189" s="473" t="s">
        <v>4461</v>
      </c>
      <c r="F189" s="474" t="s">
        <v>5562</v>
      </c>
      <c r="G189" s="475"/>
      <c r="H189" s="570" t="s">
        <v>5575</v>
      </c>
      <c r="I189" s="476">
        <v>22</v>
      </c>
      <c r="J189" s="477" t="s">
        <v>4564</v>
      </c>
      <c r="K189" s="437"/>
      <c r="L189" s="487"/>
      <c r="M189" s="464" t="s">
        <v>13</v>
      </c>
      <c r="N189" s="488"/>
      <c r="O189" s="280">
        <v>0</v>
      </c>
      <c r="P189" s="465"/>
      <c r="Q189" s="263">
        <f t="shared" si="80"/>
        <v>0</v>
      </c>
      <c r="R189" s="278"/>
      <c r="S189" s="279"/>
      <c r="T189" s="466"/>
      <c r="U189" s="544">
        <v>0</v>
      </c>
      <c r="V189" s="61"/>
      <c r="W189" s="68"/>
      <c r="X189" s="79"/>
      <c r="Y189" s="70"/>
      <c r="Z189" s="70"/>
      <c r="AA189" s="71">
        <f t="shared" si="81"/>
        <v>0</v>
      </c>
      <c r="AB189" s="72">
        <f>SUM(AE189:AI189)+AJ189</f>
        <v>0</v>
      </c>
      <c r="AC189" s="267"/>
      <c r="AD189" s="545">
        <f t="shared" si="83"/>
        <v>0</v>
      </c>
      <c r="AE189" s="62"/>
      <c r="AF189" s="73"/>
      <c r="AG189" s="73"/>
      <c r="AH189" s="73"/>
      <c r="AI189" s="74"/>
      <c r="AJ189" s="75">
        <f t="shared" si="84"/>
        <v>0</v>
      </c>
      <c r="AK189" s="467"/>
      <c r="AL189" s="546" t="s">
        <v>4537</v>
      </c>
      <c r="AM189" s="468" t="str">
        <f t="shared" si="77"/>
        <v>2252</v>
      </c>
      <c r="AN189" s="469" t="str">
        <f t="shared" si="78"/>
        <v>2252</v>
      </c>
      <c r="AO189" s="463">
        <v>2252</v>
      </c>
      <c r="AP189" s="463"/>
      <c r="AR189" s="71">
        <f>U192</f>
        <v>0</v>
      </c>
      <c r="AS189" s="64"/>
      <c r="AT189" s="65"/>
      <c r="AU189" s="66"/>
      <c r="AV189" s="67" t="e">
        <f>#REF!-#REF!</f>
        <v>#REF!</v>
      </c>
    </row>
    <row r="190" spans="1:48" s="470" customFormat="1" ht="25.5" customHeight="1" outlineLevel="2">
      <c r="A190" s="463" t="s">
        <v>4454</v>
      </c>
      <c r="B190" s="485"/>
      <c r="C190" s="669">
        <v>52</v>
      </c>
      <c r="D190" s="463" t="s">
        <v>4454</v>
      </c>
      <c r="E190" s="473"/>
      <c r="F190" s="474" t="s">
        <v>5562</v>
      </c>
      <c r="G190" s="475"/>
      <c r="H190" s="486"/>
      <c r="I190" s="476"/>
      <c r="J190" s="477"/>
      <c r="K190" s="437"/>
      <c r="L190" s="487"/>
      <c r="M190" s="464" t="s">
        <v>13</v>
      </c>
      <c r="N190" s="488"/>
      <c r="O190" s="280">
        <v>0</v>
      </c>
      <c r="P190" s="465"/>
      <c r="Q190" s="263">
        <f t="shared" si="80"/>
        <v>0</v>
      </c>
      <c r="R190" s="278"/>
      <c r="S190" s="279"/>
      <c r="T190" s="466"/>
      <c r="U190" s="544">
        <v>0</v>
      </c>
      <c r="V190" s="61"/>
      <c r="W190" s="68"/>
      <c r="X190" s="79"/>
      <c r="Y190" s="70"/>
      <c r="Z190" s="70"/>
      <c r="AA190" s="63">
        <f t="shared" si="81"/>
        <v>0</v>
      </c>
      <c r="AB190" s="72"/>
      <c r="AC190" s="267"/>
      <c r="AD190" s="545">
        <f t="shared" si="83"/>
        <v>0</v>
      </c>
      <c r="AE190" s="62"/>
      <c r="AF190" s="73"/>
      <c r="AG190" s="73"/>
      <c r="AH190" s="73"/>
      <c r="AI190" s="74"/>
      <c r="AJ190" s="75">
        <f t="shared" si="84"/>
        <v>0</v>
      </c>
      <c r="AK190" s="467"/>
      <c r="AL190" s="546"/>
      <c r="AM190" s="468" t="str">
        <f t="shared" si="77"/>
        <v/>
      </c>
      <c r="AN190" s="469" t="str">
        <f t="shared" si="78"/>
        <v/>
      </c>
      <c r="AO190" s="463" t="s">
        <v>4454</v>
      </c>
      <c r="AP190" s="463"/>
      <c r="AR190" s="63"/>
      <c r="AS190" s="64"/>
      <c r="AT190" s="65"/>
      <c r="AU190" s="66"/>
      <c r="AV190" s="67" t="e">
        <f>#REF!-#REF!</f>
        <v>#REF!</v>
      </c>
    </row>
    <row r="191" spans="1:48" s="470" customFormat="1" ht="25.5" customHeight="1" outlineLevel="2">
      <c r="A191" s="463" t="s">
        <v>4454</v>
      </c>
      <c r="B191" s="485"/>
      <c r="C191" s="669">
        <v>52</v>
      </c>
      <c r="D191" s="463" t="s">
        <v>4454</v>
      </c>
      <c r="E191" s="473"/>
      <c r="F191" s="474" t="s">
        <v>5562</v>
      </c>
      <c r="G191" s="475"/>
      <c r="H191" s="486"/>
      <c r="I191" s="476"/>
      <c r="J191" s="477"/>
      <c r="K191" s="437"/>
      <c r="L191" s="487"/>
      <c r="M191" s="464" t="s">
        <v>13</v>
      </c>
      <c r="N191" s="488"/>
      <c r="O191" s="280">
        <v>0</v>
      </c>
      <c r="P191" s="465"/>
      <c r="Q191" s="263">
        <f t="shared" si="80"/>
        <v>0</v>
      </c>
      <c r="R191" s="278"/>
      <c r="S191" s="279"/>
      <c r="T191" s="466"/>
      <c r="U191" s="544">
        <v>0</v>
      </c>
      <c r="V191" s="61"/>
      <c r="W191" s="68"/>
      <c r="X191" s="79"/>
      <c r="Y191" s="70"/>
      <c r="Z191" s="70"/>
      <c r="AA191" s="63">
        <f t="shared" si="81"/>
        <v>0</v>
      </c>
      <c r="AB191" s="72"/>
      <c r="AC191" s="267"/>
      <c r="AD191" s="545">
        <f t="shared" si="83"/>
        <v>0</v>
      </c>
      <c r="AE191" s="62"/>
      <c r="AF191" s="73"/>
      <c r="AG191" s="73"/>
      <c r="AH191" s="73"/>
      <c r="AI191" s="74"/>
      <c r="AJ191" s="75">
        <f t="shared" si="84"/>
        <v>0</v>
      </c>
      <c r="AK191" s="467"/>
      <c r="AL191" s="546"/>
      <c r="AM191" s="468" t="str">
        <f t="shared" si="77"/>
        <v/>
      </c>
      <c r="AN191" s="469" t="str">
        <f t="shared" si="78"/>
        <v/>
      </c>
      <c r="AO191" s="463" t="s">
        <v>4454</v>
      </c>
      <c r="AP191" s="463"/>
      <c r="AR191" s="63"/>
      <c r="AS191" s="64"/>
      <c r="AT191" s="65"/>
      <c r="AU191" s="66"/>
      <c r="AV191" s="67" t="e">
        <f>#REF!-#REF!</f>
        <v>#REF!</v>
      </c>
    </row>
    <row r="192" spans="1:48" s="470" customFormat="1" ht="25.5" customHeight="1" outlineLevel="2" thickBot="1">
      <c r="A192" s="463">
        <v>1751</v>
      </c>
      <c r="B192" s="608" t="s">
        <v>4500</v>
      </c>
      <c r="C192" s="669">
        <v>52</v>
      </c>
      <c r="D192" s="463">
        <v>1751</v>
      </c>
      <c r="E192" s="473" t="s">
        <v>4512</v>
      </c>
      <c r="F192" s="474" t="s">
        <v>5562</v>
      </c>
      <c r="G192" s="475"/>
      <c r="H192" s="486" t="s">
        <v>5576</v>
      </c>
      <c r="I192" s="476">
        <v>17</v>
      </c>
      <c r="J192" s="477" t="s">
        <v>4527</v>
      </c>
      <c r="K192" s="437"/>
      <c r="L192" s="487"/>
      <c r="M192" s="464" t="s">
        <v>13</v>
      </c>
      <c r="N192" s="488"/>
      <c r="O192" s="280">
        <v>0</v>
      </c>
      <c r="P192" s="465"/>
      <c r="Q192" s="263">
        <f t="shared" si="80"/>
        <v>0</v>
      </c>
      <c r="R192" s="278"/>
      <c r="S192" s="279"/>
      <c r="T192" s="466"/>
      <c r="U192" s="561">
        <v>0</v>
      </c>
      <c r="V192" s="61"/>
      <c r="W192" s="68"/>
      <c r="X192" s="79">
        <v>43200</v>
      </c>
      <c r="Y192" s="70"/>
      <c r="Z192" s="70"/>
      <c r="AA192" s="71">
        <f t="shared" si="81"/>
        <v>0</v>
      </c>
      <c r="AB192" s="72">
        <f>SUM(AE192:AI192)</f>
        <v>0</v>
      </c>
      <c r="AC192" s="267"/>
      <c r="AD192" s="545">
        <f t="shared" si="83"/>
        <v>0</v>
      </c>
      <c r="AE192" s="62"/>
      <c r="AF192" s="73"/>
      <c r="AG192" s="73"/>
      <c r="AH192" s="73"/>
      <c r="AI192" s="74"/>
      <c r="AJ192" s="75">
        <f t="shared" si="84"/>
        <v>0</v>
      </c>
      <c r="AK192" s="467"/>
      <c r="AL192" s="546"/>
      <c r="AM192" s="468" t="str">
        <f t="shared" si="77"/>
        <v>1751</v>
      </c>
      <c r="AN192" s="469" t="str">
        <f t="shared" si="78"/>
        <v>1751</v>
      </c>
      <c r="AO192" s="463">
        <v>1751</v>
      </c>
      <c r="AP192" s="463"/>
      <c r="AR192" s="71">
        <f>U195</f>
        <v>0</v>
      </c>
      <c r="AS192" s="64"/>
      <c r="AT192" s="65"/>
      <c r="AU192" s="66"/>
      <c r="AV192" s="67" t="e">
        <f>#REF!-#REF!</f>
        <v>#REF!</v>
      </c>
    </row>
    <row r="193" spans="1:48" ht="25.5" customHeight="1" outlineLevel="1" thickBot="1">
      <c r="A193" s="291" t="s">
        <v>4454</v>
      </c>
      <c r="B193" s="507"/>
      <c r="C193" s="508" t="s">
        <v>4564</v>
      </c>
      <c r="D193" s="291" t="s">
        <v>4454</v>
      </c>
      <c r="E193" s="509"/>
      <c r="F193" s="510" t="s">
        <v>5223</v>
      </c>
      <c r="G193" s="511"/>
      <c r="H193" s="512"/>
      <c r="I193" s="513"/>
      <c r="J193" s="514"/>
      <c r="K193" s="515"/>
      <c r="L193" s="516"/>
      <c r="M193" s="517"/>
      <c r="N193" s="518"/>
      <c r="O193" s="519">
        <v>1900000</v>
      </c>
      <c r="P193" s="520">
        <f>SUM(P177:P192)</f>
        <v>2770000</v>
      </c>
      <c r="Q193" s="521">
        <f>SUBTOTAL(9,Q177:Q192)</f>
        <v>2270000</v>
      </c>
      <c r="R193" s="522">
        <f>SUBTOTAL(9,R177:R192)</f>
        <v>920000</v>
      </c>
      <c r="S193" s="523">
        <f>SUBTOTAL(9,S177:S192)</f>
        <v>1350000</v>
      </c>
      <c r="T193" s="524">
        <v>2770000</v>
      </c>
      <c r="U193" s="548">
        <v>2250000</v>
      </c>
      <c r="V193" s="94"/>
      <c r="W193" s="95"/>
      <c r="X193" s="96"/>
      <c r="Y193" s="97"/>
      <c r="Z193" s="97"/>
      <c r="AA193" s="137">
        <f>SUBTOTAL(9,AA177:AA192)</f>
        <v>2270000</v>
      </c>
      <c r="AB193" s="99">
        <f>SUBTOTAL(9,AB177:AB192)</f>
        <v>1350000</v>
      </c>
      <c r="AC193" s="273"/>
      <c r="AD193" s="526">
        <f>SUM(AE193:AJ193)</f>
        <v>1350000</v>
      </c>
      <c r="AE193" s="100">
        <f t="shared" ref="AE193:AH193" si="85">SUBTOTAL(9,AE177:AE192)</f>
        <v>0</v>
      </c>
      <c r="AF193" s="101">
        <f t="shared" si="85"/>
        <v>0</v>
      </c>
      <c r="AG193" s="101">
        <f t="shared" si="85"/>
        <v>0</v>
      </c>
      <c r="AH193" s="101">
        <f t="shared" si="85"/>
        <v>0</v>
      </c>
      <c r="AI193" s="102">
        <f>SUBTOTAL(9,AI177:AI192)</f>
        <v>0</v>
      </c>
      <c r="AJ193" s="103">
        <f>SUBTOTAL(9,AJ177:AJ192)</f>
        <v>1350000</v>
      </c>
      <c r="AK193" s="527">
        <f>SUBTOTAL(9,AK177:AK192)</f>
        <v>35000</v>
      </c>
      <c r="AL193" s="663"/>
      <c r="AM193" s="308" t="str">
        <f t="shared" si="77"/>
        <v/>
      </c>
      <c r="AN193" s="369" t="str">
        <f t="shared" si="78"/>
        <v/>
      </c>
      <c r="AO193" s="291" t="s">
        <v>4454</v>
      </c>
      <c r="AR193" s="137">
        <f>SUBTOTAL(9,AR152:AR192)</f>
        <v>2250000</v>
      </c>
      <c r="AS193" s="107"/>
      <c r="AT193" s="108">
        <f>SUBTOTAL(9,AT152:AT192)</f>
        <v>0</v>
      </c>
      <c r="AU193" s="109"/>
      <c r="AV193" s="110" t="e">
        <f>SUBTOTAL(9,AV152:AV192)</f>
        <v>#REF!</v>
      </c>
    </row>
    <row r="194" spans="1:48" ht="25.5" customHeight="1" outlineLevel="2">
      <c r="A194" s="291">
        <v>2158</v>
      </c>
      <c r="B194" s="569" t="s">
        <v>4530</v>
      </c>
      <c r="C194" s="667">
        <v>51</v>
      </c>
      <c r="D194" s="291">
        <v>2158</v>
      </c>
      <c r="E194" s="407" t="s">
        <v>4460</v>
      </c>
      <c r="F194" s="428" t="s">
        <v>5577</v>
      </c>
      <c r="G194" s="409"/>
      <c r="H194" s="668" t="s">
        <v>5578</v>
      </c>
      <c r="I194" s="411">
        <v>21</v>
      </c>
      <c r="J194" s="459" t="s">
        <v>4571</v>
      </c>
      <c r="K194" s="460">
        <v>67</v>
      </c>
      <c r="L194" s="413">
        <v>44435</v>
      </c>
      <c r="M194" s="414" t="s">
        <v>13</v>
      </c>
      <c r="N194" s="415">
        <v>44459</v>
      </c>
      <c r="O194" s="280">
        <v>310000</v>
      </c>
      <c r="P194" s="465">
        <v>389000</v>
      </c>
      <c r="Q194" s="263">
        <f>R194+S194</f>
        <v>310000</v>
      </c>
      <c r="R194" s="284">
        <v>60000</v>
      </c>
      <c r="S194" s="59">
        <v>250000</v>
      </c>
      <c r="T194" s="466">
        <v>389000</v>
      </c>
      <c r="U194" s="544">
        <v>310000</v>
      </c>
      <c r="V194" s="43"/>
      <c r="W194" s="44"/>
      <c r="X194" s="58" t="s">
        <v>4506</v>
      </c>
      <c r="Y194" s="46"/>
      <c r="Z194" s="46"/>
      <c r="AA194" s="47">
        <f>Q194+AB194-AJ194</f>
        <v>310000</v>
      </c>
      <c r="AB194" s="48">
        <f>SUM(AE194:AI194)+AJ194</f>
        <v>250000</v>
      </c>
      <c r="AC194" s="265"/>
      <c r="AD194" s="424">
        <f>SUM(AE194:AJ194)-AJ194</f>
        <v>0</v>
      </c>
      <c r="AE194" s="145"/>
      <c r="AF194" s="50"/>
      <c r="AG194" s="50"/>
      <c r="AH194" s="50"/>
      <c r="AI194" s="60"/>
      <c r="AJ194" s="52">
        <f>+S194</f>
        <v>250000</v>
      </c>
      <c r="AK194" s="462"/>
      <c r="AL194" s="396" t="s">
        <v>5439</v>
      </c>
      <c r="AM194" s="308" t="str">
        <f t="shared" si="77"/>
        <v>2158</v>
      </c>
      <c r="AN194" s="369" t="str">
        <f t="shared" si="78"/>
        <v>2158</v>
      </c>
      <c r="AO194" s="291">
        <v>2158</v>
      </c>
      <c r="AR194" s="47">
        <f>U197+AB194-AJ194</f>
        <v>0</v>
      </c>
      <c r="AS194" s="54"/>
      <c r="AT194" s="55"/>
      <c r="AU194" s="56"/>
      <c r="AV194" s="57" t="e">
        <f>#REF!-#REF!</f>
        <v>#REF!</v>
      </c>
    </row>
    <row r="195" spans="1:48" s="470" customFormat="1" ht="25.5" customHeight="1" outlineLevel="2">
      <c r="A195" s="463" t="s">
        <v>4454</v>
      </c>
      <c r="B195" s="607" t="s">
        <v>4459</v>
      </c>
      <c r="C195" s="472">
        <v>22</v>
      </c>
      <c r="D195" s="463" t="s">
        <v>4454</v>
      </c>
      <c r="E195" s="473" t="s">
        <v>4543</v>
      </c>
      <c r="F195" s="474" t="s">
        <v>5577</v>
      </c>
      <c r="G195" s="475"/>
      <c r="H195" s="570" t="s">
        <v>5579</v>
      </c>
      <c r="I195" s="476"/>
      <c r="J195" s="477"/>
      <c r="K195" s="437"/>
      <c r="L195" s="487"/>
      <c r="M195" s="464" t="s">
        <v>13</v>
      </c>
      <c r="N195" s="488"/>
      <c r="O195" s="280">
        <v>0</v>
      </c>
      <c r="P195" s="465"/>
      <c r="Q195" s="263">
        <f>R195+S195</f>
        <v>0</v>
      </c>
      <c r="R195" s="278"/>
      <c r="S195" s="279"/>
      <c r="T195" s="466"/>
      <c r="U195" s="544">
        <v>0</v>
      </c>
      <c r="V195" s="61"/>
      <c r="W195" s="68"/>
      <c r="X195" s="171"/>
      <c r="Y195" s="172"/>
      <c r="Z195" s="70"/>
      <c r="AA195" s="71">
        <f>Q195+AB195-AJ195</f>
        <v>0</v>
      </c>
      <c r="AB195" s="166"/>
      <c r="AC195" s="281"/>
      <c r="AD195" s="545">
        <f>SUM(AE195:AJ195)-AJ195</f>
        <v>0</v>
      </c>
      <c r="AE195" s="62"/>
      <c r="AF195" s="73"/>
      <c r="AG195" s="73"/>
      <c r="AH195" s="73"/>
      <c r="AI195" s="74"/>
      <c r="AJ195" s="75"/>
      <c r="AK195" s="467"/>
      <c r="AL195" s="546" t="s">
        <v>4536</v>
      </c>
      <c r="AM195" s="468" t="str">
        <f t="shared" si="77"/>
        <v/>
      </c>
      <c r="AN195" s="469" t="str">
        <f t="shared" si="78"/>
        <v/>
      </c>
      <c r="AO195" s="463" t="s">
        <v>4454</v>
      </c>
      <c r="AP195" s="463"/>
      <c r="AR195" s="71"/>
      <c r="AS195" s="64"/>
      <c r="AT195" s="65"/>
      <c r="AU195" s="66"/>
      <c r="AV195" s="67" t="e">
        <f>#REF!-#REF!</f>
        <v>#REF!</v>
      </c>
    </row>
    <row r="196" spans="1:48" s="470" customFormat="1" ht="25.5" customHeight="1" outlineLevel="2">
      <c r="A196" s="463" t="s">
        <v>4454</v>
      </c>
      <c r="B196" s="485"/>
      <c r="C196" s="669">
        <v>52</v>
      </c>
      <c r="D196" s="463" t="s">
        <v>4454</v>
      </c>
      <c r="E196" s="473"/>
      <c r="F196" s="474" t="s">
        <v>5577</v>
      </c>
      <c r="G196" s="475"/>
      <c r="H196" s="486"/>
      <c r="I196" s="476"/>
      <c r="J196" s="477"/>
      <c r="K196" s="437"/>
      <c r="L196" s="487"/>
      <c r="M196" s="464" t="s">
        <v>13</v>
      </c>
      <c r="N196" s="488"/>
      <c r="O196" s="280">
        <v>0</v>
      </c>
      <c r="P196" s="465"/>
      <c r="Q196" s="263">
        <f>R196+S196</f>
        <v>0</v>
      </c>
      <c r="R196" s="278"/>
      <c r="S196" s="279"/>
      <c r="T196" s="466"/>
      <c r="U196" s="544">
        <v>0</v>
      </c>
      <c r="V196" s="61"/>
      <c r="W196" s="68"/>
      <c r="X196" s="79"/>
      <c r="Y196" s="70"/>
      <c r="Z196" s="70"/>
      <c r="AA196" s="63">
        <f>Q196+AB196-AJ196</f>
        <v>0</v>
      </c>
      <c r="AB196" s="72"/>
      <c r="AC196" s="267"/>
      <c r="AD196" s="545">
        <f>SUM(AE196:AJ196)-AJ196</f>
        <v>0</v>
      </c>
      <c r="AE196" s="62"/>
      <c r="AF196" s="73"/>
      <c r="AG196" s="73"/>
      <c r="AH196" s="73"/>
      <c r="AI196" s="74"/>
      <c r="AJ196" s="75">
        <f>+S196</f>
        <v>0</v>
      </c>
      <c r="AK196" s="467"/>
      <c r="AL196" s="546"/>
      <c r="AM196" s="468" t="str">
        <f t="shared" si="77"/>
        <v/>
      </c>
      <c r="AN196" s="469" t="str">
        <f t="shared" si="78"/>
        <v/>
      </c>
      <c r="AO196" s="463" t="s">
        <v>4454</v>
      </c>
      <c r="AP196" s="463"/>
      <c r="AR196" s="63"/>
      <c r="AS196" s="64"/>
      <c r="AT196" s="65"/>
      <c r="AU196" s="66"/>
      <c r="AV196" s="67" t="e">
        <f>#REF!-#REF!</f>
        <v>#REF!</v>
      </c>
    </row>
    <row r="197" spans="1:48" s="470" customFormat="1" ht="25.5" customHeight="1" outlineLevel="2">
      <c r="A197" s="463" t="s">
        <v>4454</v>
      </c>
      <c r="B197" s="485"/>
      <c r="C197" s="669">
        <v>52</v>
      </c>
      <c r="D197" s="463" t="s">
        <v>4454</v>
      </c>
      <c r="E197" s="473"/>
      <c r="F197" s="474" t="s">
        <v>5577</v>
      </c>
      <c r="G197" s="475"/>
      <c r="H197" s="486"/>
      <c r="I197" s="476"/>
      <c r="J197" s="477"/>
      <c r="K197" s="437"/>
      <c r="L197" s="487"/>
      <c r="M197" s="464" t="s">
        <v>13</v>
      </c>
      <c r="N197" s="488"/>
      <c r="O197" s="280">
        <v>0</v>
      </c>
      <c r="P197" s="465"/>
      <c r="Q197" s="263">
        <f>R197+S197</f>
        <v>0</v>
      </c>
      <c r="R197" s="278"/>
      <c r="S197" s="279"/>
      <c r="T197" s="466"/>
      <c r="U197" s="544">
        <v>0</v>
      </c>
      <c r="V197" s="61"/>
      <c r="W197" s="68"/>
      <c r="X197" s="79"/>
      <c r="Y197" s="70"/>
      <c r="Z197" s="70"/>
      <c r="AA197" s="63">
        <f>Q197+AB197-AJ197</f>
        <v>0</v>
      </c>
      <c r="AB197" s="72"/>
      <c r="AC197" s="267"/>
      <c r="AD197" s="545">
        <f>SUM(AE197:AJ197)-AJ197</f>
        <v>0</v>
      </c>
      <c r="AE197" s="62"/>
      <c r="AF197" s="73"/>
      <c r="AG197" s="73"/>
      <c r="AH197" s="73"/>
      <c r="AI197" s="74"/>
      <c r="AJ197" s="75">
        <f>+S197</f>
        <v>0</v>
      </c>
      <c r="AK197" s="467"/>
      <c r="AL197" s="546"/>
      <c r="AM197" s="468" t="str">
        <f t="shared" si="77"/>
        <v/>
      </c>
      <c r="AN197" s="469" t="str">
        <f t="shared" si="78"/>
        <v/>
      </c>
      <c r="AO197" s="463" t="s">
        <v>4454</v>
      </c>
      <c r="AP197" s="463"/>
      <c r="AR197" s="63"/>
      <c r="AS197" s="64"/>
      <c r="AT197" s="65"/>
      <c r="AU197" s="66"/>
      <c r="AV197" s="67" t="e">
        <f>#REF!-#REF!</f>
        <v>#REF!</v>
      </c>
    </row>
    <row r="198" spans="1:48" s="470" customFormat="1" ht="25.5" customHeight="1" outlineLevel="2" thickBot="1">
      <c r="A198" s="463">
        <v>1752</v>
      </c>
      <c r="B198" s="608" t="s">
        <v>4500</v>
      </c>
      <c r="C198" s="669">
        <v>52</v>
      </c>
      <c r="D198" s="463">
        <v>1752</v>
      </c>
      <c r="E198" s="473" t="s">
        <v>4512</v>
      </c>
      <c r="F198" s="474" t="s">
        <v>5577</v>
      </c>
      <c r="G198" s="475"/>
      <c r="H198" s="486" t="s">
        <v>5580</v>
      </c>
      <c r="I198" s="476">
        <v>17</v>
      </c>
      <c r="J198" s="477" t="s">
        <v>4564</v>
      </c>
      <c r="K198" s="437"/>
      <c r="L198" s="487"/>
      <c r="M198" s="464" t="s">
        <v>13</v>
      </c>
      <c r="N198" s="488"/>
      <c r="O198" s="280">
        <v>0</v>
      </c>
      <c r="P198" s="465"/>
      <c r="Q198" s="263">
        <f>R198+S198</f>
        <v>0</v>
      </c>
      <c r="R198" s="278"/>
      <c r="S198" s="279"/>
      <c r="T198" s="466"/>
      <c r="U198" s="561">
        <v>0</v>
      </c>
      <c r="V198" s="61"/>
      <c r="W198" s="68"/>
      <c r="X198" s="79">
        <v>43200</v>
      </c>
      <c r="Y198" s="70"/>
      <c r="Z198" s="70"/>
      <c r="AA198" s="71">
        <f>Q198+AB198-AJ198</f>
        <v>0</v>
      </c>
      <c r="AB198" s="72">
        <f>SUM(AE198:AI198)</f>
        <v>0</v>
      </c>
      <c r="AC198" s="267"/>
      <c r="AD198" s="545">
        <f>SUM(AE198:AJ198)-AJ198</f>
        <v>0</v>
      </c>
      <c r="AE198" s="62"/>
      <c r="AF198" s="73"/>
      <c r="AG198" s="73"/>
      <c r="AH198" s="73"/>
      <c r="AI198" s="74"/>
      <c r="AJ198" s="75">
        <f>+S198</f>
        <v>0</v>
      </c>
      <c r="AK198" s="467"/>
      <c r="AL198" s="546"/>
      <c r="AM198" s="468" t="str">
        <f t="shared" si="77"/>
        <v>1752</v>
      </c>
      <c r="AN198" s="469" t="str">
        <f t="shared" si="78"/>
        <v>1752</v>
      </c>
      <c r="AO198" s="463">
        <v>1752</v>
      </c>
      <c r="AP198" s="463"/>
      <c r="AR198" s="71">
        <f>U201</f>
        <v>50000</v>
      </c>
      <c r="AS198" s="64"/>
      <c r="AT198" s="65"/>
      <c r="AU198" s="66"/>
      <c r="AV198" s="67" t="e">
        <f>#REF!-#REF!</f>
        <v>#REF!</v>
      </c>
    </row>
    <row r="199" spans="1:48" ht="25.5" customHeight="1" outlineLevel="1" thickBot="1">
      <c r="A199" s="291" t="s">
        <v>4454</v>
      </c>
      <c r="B199" s="507"/>
      <c r="C199" s="508" t="s">
        <v>4564</v>
      </c>
      <c r="D199" s="291" t="s">
        <v>4454</v>
      </c>
      <c r="E199" s="509"/>
      <c r="F199" s="510" t="s">
        <v>5224</v>
      </c>
      <c r="G199" s="511"/>
      <c r="H199" s="512"/>
      <c r="I199" s="513"/>
      <c r="J199" s="514"/>
      <c r="K199" s="515"/>
      <c r="L199" s="516"/>
      <c r="M199" s="517"/>
      <c r="N199" s="518"/>
      <c r="O199" s="519">
        <v>310000</v>
      </c>
      <c r="P199" s="520">
        <f>SUM(P194:P198)</f>
        <v>389000</v>
      </c>
      <c r="Q199" s="521">
        <f>SUBTOTAL(9,Q194:Q198)</f>
        <v>310000</v>
      </c>
      <c r="R199" s="522">
        <f>SUBTOTAL(9,R194:R198)</f>
        <v>60000</v>
      </c>
      <c r="S199" s="523">
        <f>SUBTOTAL(9,S194:S198)</f>
        <v>250000</v>
      </c>
      <c r="T199" s="524">
        <v>389000</v>
      </c>
      <c r="U199" s="549">
        <v>310000</v>
      </c>
      <c r="V199" s="94"/>
      <c r="W199" s="95"/>
      <c r="X199" s="96"/>
      <c r="Y199" s="97"/>
      <c r="Z199" s="97"/>
      <c r="AA199" s="137">
        <f>SUBTOTAL(9,AA194:AA198)</f>
        <v>310000</v>
      </c>
      <c r="AB199" s="99">
        <f>SUBTOTAL(9,AB194:AB198)</f>
        <v>250000</v>
      </c>
      <c r="AC199" s="273"/>
      <c r="AD199" s="526">
        <f>SUM(AE199:AJ199)</f>
        <v>250000</v>
      </c>
      <c r="AE199" s="100">
        <f t="shared" ref="AE199:AH199" si="86">SUBTOTAL(9,AE194:AE198)</f>
        <v>0</v>
      </c>
      <c r="AF199" s="101">
        <f t="shared" si="86"/>
        <v>0</v>
      </c>
      <c r="AG199" s="101">
        <f t="shared" si="86"/>
        <v>0</v>
      </c>
      <c r="AH199" s="101">
        <f t="shared" si="86"/>
        <v>0</v>
      </c>
      <c r="AI199" s="102">
        <f>SUBTOTAL(9,AI194:AI198)</f>
        <v>0</v>
      </c>
      <c r="AJ199" s="103">
        <f>SUBTOTAL(9,AJ194:AJ198)</f>
        <v>250000</v>
      </c>
      <c r="AK199" s="527">
        <f>SUBTOTAL(9,AK194:AK198)</f>
        <v>0</v>
      </c>
      <c r="AL199" s="663">
        <f>Q176+Q193+Q199</f>
        <v>3230000</v>
      </c>
      <c r="AM199" s="308" t="str">
        <f t="shared" si="77"/>
        <v/>
      </c>
      <c r="AN199" s="369" t="str">
        <f t="shared" si="78"/>
        <v/>
      </c>
      <c r="AO199" s="291" t="s">
        <v>4454</v>
      </c>
      <c r="AR199" s="137">
        <f>SUBTOTAL(9,AR170:AR198)</f>
        <v>1700000</v>
      </c>
      <c r="AS199" s="107"/>
      <c r="AT199" s="108">
        <f>SUBTOTAL(9,AT170:AT198)</f>
        <v>0</v>
      </c>
      <c r="AU199" s="109"/>
      <c r="AV199" s="110" t="e">
        <f>SUBTOTAL(9,AV170:AV198)</f>
        <v>#REF!</v>
      </c>
    </row>
    <row r="200" spans="1:48" s="470" customFormat="1" ht="25.5" customHeight="1" outlineLevel="2">
      <c r="A200" s="463" t="s">
        <v>4454</v>
      </c>
      <c r="B200" s="686"/>
      <c r="C200" s="687" t="s">
        <v>4538</v>
      </c>
      <c r="D200" s="463" t="s">
        <v>4454</v>
      </c>
      <c r="E200" s="688"/>
      <c r="F200" s="532" t="s">
        <v>4572</v>
      </c>
      <c r="G200" s="689"/>
      <c r="H200" s="690"/>
      <c r="I200" s="691"/>
      <c r="J200" s="692"/>
      <c r="K200" s="693"/>
      <c r="L200" s="694"/>
      <c r="M200" s="695" t="s">
        <v>13</v>
      </c>
      <c r="N200" s="696"/>
      <c r="O200" s="697">
        <v>0</v>
      </c>
      <c r="P200" s="698"/>
      <c r="Q200" s="699">
        <f>R200+S200</f>
        <v>0</v>
      </c>
      <c r="R200" s="700"/>
      <c r="S200" s="701"/>
      <c r="T200" s="702"/>
      <c r="U200" s="672">
        <v>0</v>
      </c>
      <c r="V200" s="703"/>
      <c r="W200" s="704"/>
      <c r="X200" s="705"/>
      <c r="Y200" s="706"/>
      <c r="Z200" s="706"/>
      <c r="AA200" s="707">
        <f>Q200+AB200-AJ200</f>
        <v>0</v>
      </c>
      <c r="AB200" s="708"/>
      <c r="AC200" s="709"/>
      <c r="AD200" s="710">
        <f>SUM(AE200:AJ200)-AJ200</f>
        <v>0</v>
      </c>
      <c r="AE200" s="711"/>
      <c r="AF200" s="712"/>
      <c r="AG200" s="712"/>
      <c r="AH200" s="712"/>
      <c r="AI200" s="713"/>
      <c r="AJ200" s="714"/>
      <c r="AK200" s="715"/>
      <c r="AL200" s="716"/>
      <c r="AM200" s="468" t="str">
        <f t="shared" si="77"/>
        <v/>
      </c>
      <c r="AN200" s="469" t="str">
        <f t="shared" si="78"/>
        <v/>
      </c>
      <c r="AO200" s="463" t="s">
        <v>4454</v>
      </c>
      <c r="AP200" s="463"/>
      <c r="AR200" s="63"/>
      <c r="AS200" s="64"/>
      <c r="AT200" s="65"/>
      <c r="AU200" s="66"/>
      <c r="AV200" s="67" t="e">
        <f>#REF!-#REF!</f>
        <v>#REF!</v>
      </c>
    </row>
    <row r="201" spans="1:48" ht="25.5" customHeight="1" outlineLevel="2" thickBot="1">
      <c r="A201" s="291">
        <v>1561</v>
      </c>
      <c r="B201" s="490" t="s">
        <v>4500</v>
      </c>
      <c r="C201" s="458">
        <v>42</v>
      </c>
      <c r="D201" s="291">
        <v>1561</v>
      </c>
      <c r="E201" s="407" t="s">
        <v>4553</v>
      </c>
      <c r="F201" s="428" t="s">
        <v>4572</v>
      </c>
      <c r="G201" s="409"/>
      <c r="H201" s="429" t="s">
        <v>4573</v>
      </c>
      <c r="I201" s="411">
        <v>15</v>
      </c>
      <c r="J201" s="459" t="s">
        <v>4575</v>
      </c>
      <c r="K201" s="437"/>
      <c r="L201" s="413"/>
      <c r="M201" s="464" t="s">
        <v>13</v>
      </c>
      <c r="N201" s="415"/>
      <c r="O201" s="280">
        <v>50000</v>
      </c>
      <c r="P201" s="465">
        <v>50000</v>
      </c>
      <c r="Q201" s="263">
        <f>R201+S201</f>
        <v>50000</v>
      </c>
      <c r="R201" s="284">
        <v>50000</v>
      </c>
      <c r="S201" s="285"/>
      <c r="T201" s="466">
        <v>50000</v>
      </c>
      <c r="U201" s="544">
        <v>50000</v>
      </c>
      <c r="V201" s="43"/>
      <c r="W201" s="44"/>
      <c r="X201" s="45">
        <v>43200</v>
      </c>
      <c r="Y201" s="46"/>
      <c r="Z201" s="46"/>
      <c r="AA201" s="47">
        <f>Q201+AB201-AJ201</f>
        <v>50000</v>
      </c>
      <c r="AB201" s="48">
        <f>SUM(AE201:AI201)</f>
        <v>0</v>
      </c>
      <c r="AC201" s="265"/>
      <c r="AD201" s="424">
        <f>SUM(AE201:AJ201)-AJ201</f>
        <v>0</v>
      </c>
      <c r="AE201" s="49"/>
      <c r="AF201" s="50"/>
      <c r="AG201" s="50"/>
      <c r="AH201" s="50"/>
      <c r="AI201" s="51"/>
      <c r="AJ201" s="52"/>
      <c r="AK201" s="462"/>
      <c r="AL201" s="442"/>
      <c r="AM201" s="308" t="str">
        <f t="shared" si="77"/>
        <v>1561</v>
      </c>
      <c r="AN201" s="369" t="str">
        <f t="shared" si="78"/>
        <v>1561</v>
      </c>
      <c r="AO201" s="291">
        <v>1561</v>
      </c>
      <c r="AR201" s="47">
        <f>U204+AB201</f>
        <v>0</v>
      </c>
      <c r="AS201" s="54"/>
      <c r="AT201" s="55"/>
      <c r="AU201" s="56"/>
      <c r="AV201" s="57" t="e">
        <f>#REF!-#REF!</f>
        <v>#REF!</v>
      </c>
    </row>
    <row r="202" spans="1:48" ht="25.5" customHeight="1" outlineLevel="1" thickBot="1">
      <c r="A202" s="291" t="s">
        <v>4454</v>
      </c>
      <c r="B202" s="507"/>
      <c r="C202" s="508">
        <v>42</v>
      </c>
      <c r="D202" s="291" t="s">
        <v>4454</v>
      </c>
      <c r="E202" s="509"/>
      <c r="F202" s="510" t="s">
        <v>4574</v>
      </c>
      <c r="G202" s="511"/>
      <c r="H202" s="512"/>
      <c r="I202" s="513"/>
      <c r="J202" s="514"/>
      <c r="K202" s="515"/>
      <c r="L202" s="516"/>
      <c r="M202" s="517"/>
      <c r="N202" s="518"/>
      <c r="O202" s="519">
        <v>50000</v>
      </c>
      <c r="P202" s="520"/>
      <c r="Q202" s="521">
        <f>SUBTOTAL(9,Q198:Q201)</f>
        <v>50000</v>
      </c>
      <c r="R202" s="522">
        <f>SUBTOTAL(9,R198:R201)</f>
        <v>50000</v>
      </c>
      <c r="S202" s="523">
        <f>SUBTOTAL(9,S198:S201)</f>
        <v>0</v>
      </c>
      <c r="T202" s="524"/>
      <c r="U202" s="525">
        <v>50000</v>
      </c>
      <c r="V202" s="94"/>
      <c r="W202" s="95"/>
      <c r="X202" s="96"/>
      <c r="Y202" s="97"/>
      <c r="Z202" s="97"/>
      <c r="AA202" s="137">
        <f t="shared" ref="AA202:AK202" si="87">SUBTOTAL(9,AA198:AA201)</f>
        <v>50000</v>
      </c>
      <c r="AB202" s="99">
        <f t="shared" si="87"/>
        <v>0</v>
      </c>
      <c r="AC202" s="273"/>
      <c r="AD202" s="526">
        <f>SUM(AE202:AJ202)</f>
        <v>0</v>
      </c>
      <c r="AE202" s="100">
        <f t="shared" si="87"/>
        <v>0</v>
      </c>
      <c r="AF202" s="101">
        <f t="shared" si="87"/>
        <v>0</v>
      </c>
      <c r="AG202" s="101">
        <f t="shared" si="87"/>
        <v>0</v>
      </c>
      <c r="AH202" s="101">
        <f t="shared" si="87"/>
        <v>0</v>
      </c>
      <c r="AI202" s="102">
        <f t="shared" si="87"/>
        <v>0</v>
      </c>
      <c r="AJ202" s="103">
        <f t="shared" si="87"/>
        <v>0</v>
      </c>
      <c r="AK202" s="527">
        <f t="shared" si="87"/>
        <v>0</v>
      </c>
      <c r="AL202" s="663"/>
      <c r="AM202" s="308" t="str">
        <f t="shared" si="77"/>
        <v/>
      </c>
      <c r="AN202" s="369" t="str">
        <f t="shared" si="78"/>
        <v/>
      </c>
      <c r="AO202" s="291" t="s">
        <v>4454</v>
      </c>
      <c r="AR202" s="137">
        <f>SUBTOTAL(9,AR198:AR201)</f>
        <v>50000</v>
      </c>
      <c r="AS202" s="107"/>
      <c r="AT202" s="108">
        <f>SUBTOTAL(9,AT198:AT201)</f>
        <v>0</v>
      </c>
      <c r="AU202" s="109"/>
      <c r="AV202" s="110" t="e">
        <f>SUM(AV198:AV201)</f>
        <v>#REF!</v>
      </c>
    </row>
    <row r="203" spans="1:48" ht="25.5" customHeight="1" outlineLevel="2">
      <c r="A203" s="291">
        <v>2161</v>
      </c>
      <c r="B203" s="564" t="s">
        <v>4530</v>
      </c>
      <c r="C203" s="530">
        <v>61</v>
      </c>
      <c r="D203" s="291">
        <v>2161</v>
      </c>
      <c r="E203" s="531" t="s">
        <v>4531</v>
      </c>
      <c r="F203" s="532" t="s">
        <v>5581</v>
      </c>
      <c r="G203" s="533"/>
      <c r="H203" s="565" t="s">
        <v>5582</v>
      </c>
      <c r="I203" s="535">
        <v>21</v>
      </c>
      <c r="J203" s="536" t="s">
        <v>4575</v>
      </c>
      <c r="K203" s="566">
        <v>59</v>
      </c>
      <c r="L203" s="567">
        <v>44290</v>
      </c>
      <c r="M203" s="717" t="s">
        <v>13</v>
      </c>
      <c r="N203" s="568">
        <v>44535</v>
      </c>
      <c r="O203" s="697">
        <v>800000</v>
      </c>
      <c r="P203" s="698">
        <v>870000</v>
      </c>
      <c r="Q203" s="699">
        <f t="shared" ref="Q203:Q222" si="88">R203+S203</f>
        <v>820000</v>
      </c>
      <c r="R203" s="538"/>
      <c r="S203" s="138">
        <v>820000</v>
      </c>
      <c r="T203" s="702">
        <v>870000</v>
      </c>
      <c r="U203" s="672">
        <v>820000</v>
      </c>
      <c r="V203" s="112"/>
      <c r="W203" s="113"/>
      <c r="X203" s="139" t="s">
        <v>4506</v>
      </c>
      <c r="Y203" s="718"/>
      <c r="Z203" s="115"/>
      <c r="AA203" s="116">
        <f t="shared" ref="AA203:AA211" si="89">Q203+AB203-AJ203</f>
        <v>820000</v>
      </c>
      <c r="AB203" s="117">
        <f>SUM(AE203:AI203)+AJ203</f>
        <v>820000</v>
      </c>
      <c r="AC203" s="274"/>
      <c r="AD203" s="719">
        <f t="shared" ref="AD203:AD210" si="90">SUM(AE203:AJ203)-AJ203</f>
        <v>0</v>
      </c>
      <c r="AE203" s="118"/>
      <c r="AF203" s="119"/>
      <c r="AG203" s="119"/>
      <c r="AH203" s="119"/>
      <c r="AI203" s="120"/>
      <c r="AJ203" s="140">
        <f t="shared" ref="AJ203:AJ214" si="91">+S203</f>
        <v>820000</v>
      </c>
      <c r="AK203" s="540"/>
      <c r="AL203" s="720" t="s">
        <v>5439</v>
      </c>
      <c r="AM203" s="308" t="str">
        <f t="shared" si="77"/>
        <v>2161</v>
      </c>
      <c r="AN203" s="369" t="str">
        <f t="shared" si="78"/>
        <v>2161</v>
      </c>
      <c r="AO203" s="291">
        <v>2161</v>
      </c>
      <c r="AR203" s="47">
        <f t="shared" ref="AR203:AR211" si="92">U206+AB203-AJ203</f>
        <v>0</v>
      </c>
      <c r="AS203" s="54"/>
      <c r="AT203" s="55"/>
      <c r="AU203" s="56"/>
      <c r="AV203" s="57" t="e">
        <f>#REF!-#REF!</f>
        <v>#REF!</v>
      </c>
    </row>
    <row r="204" spans="1:48" s="470" customFormat="1" ht="25.5" customHeight="1" outlineLevel="2">
      <c r="A204" s="463" t="s">
        <v>4454</v>
      </c>
      <c r="B204" s="721" t="s">
        <v>4530</v>
      </c>
      <c r="C204" s="722">
        <v>61</v>
      </c>
      <c r="D204" s="463" t="s">
        <v>4454</v>
      </c>
      <c r="E204" s="723" t="s">
        <v>4531</v>
      </c>
      <c r="F204" s="724" t="s">
        <v>5581</v>
      </c>
      <c r="G204" s="725"/>
      <c r="H204" s="726" t="s">
        <v>5583</v>
      </c>
      <c r="I204" s="727"/>
      <c r="J204" s="671"/>
      <c r="K204" s="537"/>
      <c r="L204" s="728"/>
      <c r="M204" s="554" t="s">
        <v>13</v>
      </c>
      <c r="N204" s="729"/>
      <c r="O204" s="349">
        <v>0</v>
      </c>
      <c r="P204" s="555"/>
      <c r="Q204" s="351">
        <f t="shared" si="88"/>
        <v>0</v>
      </c>
      <c r="R204" s="730"/>
      <c r="S204" s="731"/>
      <c r="T204" s="556"/>
      <c r="U204" s="732">
        <v>0</v>
      </c>
      <c r="V204" s="733"/>
      <c r="W204" s="734"/>
      <c r="X204" s="735"/>
      <c r="Y204" s="736"/>
      <c r="Z204" s="737"/>
      <c r="AA204" s="738">
        <f t="shared" si="89"/>
        <v>0</v>
      </c>
      <c r="AB204" s="72">
        <f>SUM(AE204:AI204)</f>
        <v>0</v>
      </c>
      <c r="AC204" s="267"/>
      <c r="AD204" s="739">
        <f t="shared" si="90"/>
        <v>0</v>
      </c>
      <c r="AE204" s="740"/>
      <c r="AF204" s="741"/>
      <c r="AG204" s="741"/>
      <c r="AH204" s="741"/>
      <c r="AI204" s="742"/>
      <c r="AJ204" s="743">
        <f t="shared" si="91"/>
        <v>0</v>
      </c>
      <c r="AK204" s="744"/>
      <c r="AL204" s="745"/>
      <c r="AM204" s="468" t="str">
        <f t="shared" si="77"/>
        <v/>
      </c>
      <c r="AN204" s="469" t="str">
        <f t="shared" si="78"/>
        <v/>
      </c>
      <c r="AO204" s="463" t="s">
        <v>4454</v>
      </c>
      <c r="AP204" s="463"/>
      <c r="AR204" s="71">
        <f t="shared" si="92"/>
        <v>0</v>
      </c>
      <c r="AS204" s="64"/>
      <c r="AT204" s="65"/>
      <c r="AU204" s="66"/>
      <c r="AV204" s="67" t="e">
        <f>#REF!-#REF!</f>
        <v>#REF!</v>
      </c>
    </row>
    <row r="205" spans="1:48" s="470" customFormat="1" ht="25.5" customHeight="1" outlineLevel="2">
      <c r="A205" s="463" t="s">
        <v>4454</v>
      </c>
      <c r="B205" s="485" t="s">
        <v>4530</v>
      </c>
      <c r="C205" s="472">
        <v>61</v>
      </c>
      <c r="D205" s="463" t="s">
        <v>4454</v>
      </c>
      <c r="E205" s="473" t="s">
        <v>4531</v>
      </c>
      <c r="F205" s="474" t="s">
        <v>5581</v>
      </c>
      <c r="G205" s="475"/>
      <c r="H205" s="570" t="s">
        <v>5584</v>
      </c>
      <c r="I205" s="677"/>
      <c r="J205" s="678"/>
      <c r="K205" s="437"/>
      <c r="L205" s="487"/>
      <c r="M205" s="464" t="s">
        <v>13</v>
      </c>
      <c r="N205" s="488"/>
      <c r="O205" s="280">
        <v>0</v>
      </c>
      <c r="P205" s="465"/>
      <c r="Q205" s="263">
        <f t="shared" si="88"/>
        <v>0</v>
      </c>
      <c r="R205" s="278"/>
      <c r="S205" s="279"/>
      <c r="T205" s="466"/>
      <c r="U205" s="544">
        <v>0</v>
      </c>
      <c r="V205" s="61"/>
      <c r="W205" s="68"/>
      <c r="X205" s="79"/>
      <c r="Y205" s="70"/>
      <c r="Z205" s="70"/>
      <c r="AA205" s="71">
        <f t="shared" si="89"/>
        <v>0</v>
      </c>
      <c r="AB205" s="166">
        <f t="shared" ref="AB205:AB208" si="93">SUM(AE205:AI205)+AJ205</f>
        <v>0</v>
      </c>
      <c r="AC205" s="281"/>
      <c r="AD205" s="545">
        <f t="shared" si="90"/>
        <v>0</v>
      </c>
      <c r="AE205" s="62"/>
      <c r="AF205" s="73"/>
      <c r="AG205" s="73"/>
      <c r="AH205" s="73"/>
      <c r="AI205" s="74"/>
      <c r="AJ205" s="75">
        <f t="shared" si="91"/>
        <v>0</v>
      </c>
      <c r="AK205" s="467"/>
      <c r="AL205" s="546"/>
      <c r="AM205" s="468" t="str">
        <f t="shared" si="77"/>
        <v/>
      </c>
      <c r="AN205" s="469" t="str">
        <f t="shared" si="78"/>
        <v/>
      </c>
      <c r="AO205" s="463" t="s">
        <v>4454</v>
      </c>
      <c r="AP205" s="463"/>
      <c r="AR205" s="71">
        <f t="shared" si="92"/>
        <v>0</v>
      </c>
      <c r="AS205" s="64"/>
      <c r="AT205" s="65"/>
      <c r="AU205" s="66"/>
      <c r="AV205" s="67" t="e">
        <f>#REF!-#REF!</f>
        <v>#REF!</v>
      </c>
    </row>
    <row r="206" spans="1:48" s="470" customFormat="1" ht="25.5" customHeight="1" outlineLevel="2">
      <c r="A206" s="463" t="s">
        <v>4454</v>
      </c>
      <c r="B206" s="485" t="s">
        <v>4530</v>
      </c>
      <c r="C206" s="472">
        <v>61</v>
      </c>
      <c r="D206" s="463" t="s">
        <v>4454</v>
      </c>
      <c r="E206" s="473" t="s">
        <v>4531</v>
      </c>
      <c r="F206" s="474" t="s">
        <v>5581</v>
      </c>
      <c r="G206" s="475"/>
      <c r="H206" s="570" t="s">
        <v>5585</v>
      </c>
      <c r="I206" s="677"/>
      <c r="J206" s="678"/>
      <c r="K206" s="437"/>
      <c r="L206" s="487"/>
      <c r="M206" s="464" t="s">
        <v>13</v>
      </c>
      <c r="N206" s="488"/>
      <c r="O206" s="280">
        <v>0</v>
      </c>
      <c r="P206" s="465"/>
      <c r="Q206" s="263">
        <f t="shared" si="88"/>
        <v>0</v>
      </c>
      <c r="R206" s="278"/>
      <c r="S206" s="279"/>
      <c r="T206" s="466"/>
      <c r="U206" s="544">
        <v>0</v>
      </c>
      <c r="V206" s="61"/>
      <c r="W206" s="68"/>
      <c r="X206" s="79"/>
      <c r="Y206" s="70"/>
      <c r="Z206" s="70"/>
      <c r="AA206" s="71">
        <f t="shared" si="89"/>
        <v>0</v>
      </c>
      <c r="AB206" s="166">
        <f t="shared" si="93"/>
        <v>0</v>
      </c>
      <c r="AC206" s="281"/>
      <c r="AD206" s="545">
        <f t="shared" si="90"/>
        <v>0</v>
      </c>
      <c r="AE206" s="62"/>
      <c r="AF206" s="73"/>
      <c r="AG206" s="73"/>
      <c r="AH206" s="73"/>
      <c r="AI206" s="74"/>
      <c r="AJ206" s="75">
        <f t="shared" si="91"/>
        <v>0</v>
      </c>
      <c r="AK206" s="467"/>
      <c r="AL206" s="546"/>
      <c r="AM206" s="468" t="str">
        <f t="shared" ref="AM206:AM237" si="94">I206&amp;J206</f>
        <v/>
      </c>
      <c r="AN206" s="469" t="str">
        <f t="shared" ref="AN206:AN237" si="95">I206&amp;J206</f>
        <v/>
      </c>
      <c r="AO206" s="463" t="s">
        <v>4454</v>
      </c>
      <c r="AP206" s="463"/>
      <c r="AR206" s="71">
        <f t="shared" si="92"/>
        <v>0</v>
      </c>
      <c r="AS206" s="64"/>
      <c r="AT206" s="65"/>
      <c r="AU206" s="66"/>
      <c r="AV206" s="67" t="e">
        <f>#REF!-#REF!</f>
        <v>#REF!</v>
      </c>
    </row>
    <row r="207" spans="1:48" s="470" customFormat="1" ht="25.5" customHeight="1" outlineLevel="2">
      <c r="A207" s="463" t="s">
        <v>4454</v>
      </c>
      <c r="B207" s="485" t="s">
        <v>4530</v>
      </c>
      <c r="C207" s="472">
        <v>61</v>
      </c>
      <c r="D207" s="463" t="s">
        <v>4454</v>
      </c>
      <c r="E207" s="473" t="s">
        <v>4531</v>
      </c>
      <c r="F207" s="474" t="s">
        <v>5581</v>
      </c>
      <c r="G207" s="475"/>
      <c r="H207" s="486" t="s">
        <v>5586</v>
      </c>
      <c r="I207" s="476"/>
      <c r="J207" s="477"/>
      <c r="K207" s="437"/>
      <c r="L207" s="487"/>
      <c r="M207" s="464" t="s">
        <v>13</v>
      </c>
      <c r="N207" s="488"/>
      <c r="O207" s="280">
        <v>0</v>
      </c>
      <c r="P207" s="465"/>
      <c r="Q207" s="263">
        <f t="shared" si="88"/>
        <v>0</v>
      </c>
      <c r="R207" s="278"/>
      <c r="S207" s="279"/>
      <c r="T207" s="466"/>
      <c r="U207" s="544">
        <v>0</v>
      </c>
      <c r="V207" s="61"/>
      <c r="W207" s="68"/>
      <c r="X207" s="186"/>
      <c r="Y207" s="172"/>
      <c r="Z207" s="70"/>
      <c r="AA207" s="71">
        <f t="shared" si="89"/>
        <v>0</v>
      </c>
      <c r="AB207" s="166">
        <f t="shared" si="93"/>
        <v>0</v>
      </c>
      <c r="AC207" s="281"/>
      <c r="AD207" s="545">
        <f t="shared" si="90"/>
        <v>0</v>
      </c>
      <c r="AE207" s="62"/>
      <c r="AF207" s="73"/>
      <c r="AG207" s="73"/>
      <c r="AH207" s="73"/>
      <c r="AI207" s="74"/>
      <c r="AJ207" s="75">
        <f t="shared" si="91"/>
        <v>0</v>
      </c>
      <c r="AK207" s="467"/>
      <c r="AL207" s="185"/>
      <c r="AM207" s="468" t="str">
        <f t="shared" si="94"/>
        <v/>
      </c>
      <c r="AN207" s="469" t="str">
        <f t="shared" si="95"/>
        <v/>
      </c>
      <c r="AO207" s="463" t="s">
        <v>4454</v>
      </c>
      <c r="AP207" s="463"/>
      <c r="AR207" s="71">
        <f t="shared" si="92"/>
        <v>0</v>
      </c>
      <c r="AS207" s="64"/>
      <c r="AT207" s="65"/>
      <c r="AU207" s="66"/>
      <c r="AV207" s="67" t="e">
        <f>#REF!-#REF!</f>
        <v>#REF!</v>
      </c>
    </row>
    <row r="208" spans="1:48" s="470" customFormat="1" ht="25.5" customHeight="1" outlineLevel="2">
      <c r="A208" s="463" t="s">
        <v>4454</v>
      </c>
      <c r="B208" s="485" t="s">
        <v>4530</v>
      </c>
      <c r="C208" s="472">
        <v>61</v>
      </c>
      <c r="D208" s="463" t="s">
        <v>4454</v>
      </c>
      <c r="E208" s="473" t="s">
        <v>4558</v>
      </c>
      <c r="F208" s="474" t="s">
        <v>5581</v>
      </c>
      <c r="G208" s="475"/>
      <c r="H208" s="486" t="s">
        <v>5587</v>
      </c>
      <c r="I208" s="476"/>
      <c r="J208" s="477"/>
      <c r="K208" s="437"/>
      <c r="L208" s="487"/>
      <c r="M208" s="464" t="s">
        <v>13</v>
      </c>
      <c r="N208" s="488"/>
      <c r="O208" s="280">
        <v>0</v>
      </c>
      <c r="P208" s="465"/>
      <c r="Q208" s="263">
        <f t="shared" si="88"/>
        <v>0</v>
      </c>
      <c r="R208" s="278"/>
      <c r="S208" s="279"/>
      <c r="T208" s="466"/>
      <c r="U208" s="544">
        <v>0</v>
      </c>
      <c r="V208" s="61"/>
      <c r="W208" s="68"/>
      <c r="X208" s="79"/>
      <c r="Y208" s="172"/>
      <c r="Z208" s="70"/>
      <c r="AA208" s="71">
        <f t="shared" si="89"/>
        <v>0</v>
      </c>
      <c r="AB208" s="166">
        <f t="shared" si="93"/>
        <v>0</v>
      </c>
      <c r="AC208" s="281"/>
      <c r="AD208" s="545">
        <f t="shared" si="90"/>
        <v>0</v>
      </c>
      <c r="AE208" s="62"/>
      <c r="AF208" s="73"/>
      <c r="AG208" s="73"/>
      <c r="AH208" s="73"/>
      <c r="AI208" s="74"/>
      <c r="AJ208" s="75">
        <f t="shared" si="91"/>
        <v>0</v>
      </c>
      <c r="AK208" s="467"/>
      <c r="AL208" s="185"/>
      <c r="AM208" s="468" t="str">
        <f t="shared" si="94"/>
        <v/>
      </c>
      <c r="AN208" s="469" t="str">
        <f t="shared" si="95"/>
        <v/>
      </c>
      <c r="AO208" s="463" t="s">
        <v>4454</v>
      </c>
      <c r="AP208" s="463"/>
      <c r="AR208" s="71">
        <f t="shared" si="92"/>
        <v>300000</v>
      </c>
      <c r="AS208" s="64"/>
      <c r="AT208" s="65"/>
      <c r="AU208" s="66"/>
      <c r="AV208" s="67" t="e">
        <f>#REF!-#REF!</f>
        <v>#REF!</v>
      </c>
    </row>
    <row r="209" spans="1:48" s="470" customFormat="1" ht="25.5" customHeight="1" outlineLevel="2">
      <c r="A209" s="463" t="s">
        <v>4454</v>
      </c>
      <c r="B209" s="485" t="s">
        <v>4530</v>
      </c>
      <c r="C209" s="472">
        <v>61</v>
      </c>
      <c r="D209" s="463" t="s">
        <v>4454</v>
      </c>
      <c r="E209" s="473" t="s">
        <v>4543</v>
      </c>
      <c r="F209" s="474" t="s">
        <v>5581</v>
      </c>
      <c r="G209" s="475"/>
      <c r="H209" s="486" t="s">
        <v>5588</v>
      </c>
      <c r="I209" s="476"/>
      <c r="J209" s="477"/>
      <c r="K209" s="437"/>
      <c r="L209" s="487"/>
      <c r="M209" s="464" t="s">
        <v>13</v>
      </c>
      <c r="N209" s="488"/>
      <c r="O209" s="280">
        <v>0</v>
      </c>
      <c r="P209" s="465"/>
      <c r="Q209" s="263">
        <f t="shared" si="88"/>
        <v>0</v>
      </c>
      <c r="R209" s="278"/>
      <c r="S209" s="279"/>
      <c r="T209" s="466"/>
      <c r="U209" s="544">
        <v>0</v>
      </c>
      <c r="V209" s="61"/>
      <c r="W209" s="68"/>
      <c r="X209" s="79"/>
      <c r="Y209" s="141"/>
      <c r="Z209" s="70"/>
      <c r="AA209" s="71">
        <f t="shared" si="89"/>
        <v>0</v>
      </c>
      <c r="AB209" s="72">
        <f>SUM(AE209:AI209)+AJ209</f>
        <v>0</v>
      </c>
      <c r="AC209" s="267"/>
      <c r="AD209" s="545">
        <f t="shared" si="90"/>
        <v>0</v>
      </c>
      <c r="AE209" s="62"/>
      <c r="AF209" s="73"/>
      <c r="AG209" s="73"/>
      <c r="AH209" s="73"/>
      <c r="AI209" s="74"/>
      <c r="AJ209" s="75">
        <f t="shared" si="91"/>
        <v>0</v>
      </c>
      <c r="AK209" s="467"/>
      <c r="AL209" s="546" t="s">
        <v>4536</v>
      </c>
      <c r="AM209" s="468" t="str">
        <f t="shared" si="94"/>
        <v/>
      </c>
      <c r="AN209" s="469" t="str">
        <f t="shared" si="95"/>
        <v/>
      </c>
      <c r="AO209" s="463" t="s">
        <v>4454</v>
      </c>
      <c r="AP209" s="463"/>
      <c r="AR209" s="71">
        <f t="shared" si="92"/>
        <v>180000</v>
      </c>
      <c r="AS209" s="64"/>
      <c r="AT209" s="65"/>
      <c r="AU209" s="66"/>
      <c r="AV209" s="67" t="e">
        <f>#REF!-#REF!</f>
        <v>#REF!</v>
      </c>
    </row>
    <row r="210" spans="1:48" s="470" customFormat="1" ht="25.5" customHeight="1" outlineLevel="2">
      <c r="A210" s="463" t="s">
        <v>4454</v>
      </c>
      <c r="B210" s="485" t="s">
        <v>4530</v>
      </c>
      <c r="C210" s="472">
        <v>61</v>
      </c>
      <c r="D210" s="463" t="s">
        <v>4454</v>
      </c>
      <c r="E210" s="473" t="s">
        <v>4543</v>
      </c>
      <c r="F210" s="474" t="s">
        <v>5581</v>
      </c>
      <c r="G210" s="475"/>
      <c r="H210" s="486" t="s">
        <v>5589</v>
      </c>
      <c r="I210" s="476"/>
      <c r="J210" s="477"/>
      <c r="K210" s="437"/>
      <c r="L210" s="487"/>
      <c r="M210" s="464" t="s">
        <v>13</v>
      </c>
      <c r="N210" s="488"/>
      <c r="O210" s="280">
        <v>0</v>
      </c>
      <c r="P210" s="465"/>
      <c r="Q210" s="263">
        <f t="shared" si="88"/>
        <v>0</v>
      </c>
      <c r="R210" s="278"/>
      <c r="S210" s="279"/>
      <c r="T210" s="466"/>
      <c r="U210" s="544">
        <v>0</v>
      </c>
      <c r="V210" s="61"/>
      <c r="W210" s="68"/>
      <c r="X210" s="79"/>
      <c r="Y210" s="141"/>
      <c r="Z210" s="70"/>
      <c r="AA210" s="71">
        <f t="shared" si="89"/>
        <v>0</v>
      </c>
      <c r="AB210" s="72">
        <f>SUM(AE210:AI210)+AJ210</f>
        <v>0</v>
      </c>
      <c r="AC210" s="267"/>
      <c r="AD210" s="545">
        <f t="shared" si="90"/>
        <v>0</v>
      </c>
      <c r="AE210" s="62"/>
      <c r="AF210" s="73"/>
      <c r="AG210" s="73"/>
      <c r="AH210" s="73"/>
      <c r="AI210" s="74"/>
      <c r="AJ210" s="75">
        <f t="shared" si="91"/>
        <v>0</v>
      </c>
      <c r="AK210" s="467"/>
      <c r="AL210" s="546" t="s">
        <v>4536</v>
      </c>
      <c r="AM210" s="468" t="str">
        <f t="shared" si="94"/>
        <v/>
      </c>
      <c r="AN210" s="469" t="str">
        <f t="shared" si="95"/>
        <v/>
      </c>
      <c r="AO210" s="463" t="s">
        <v>4454</v>
      </c>
      <c r="AP210" s="463"/>
      <c r="AR210" s="71">
        <f t="shared" si="92"/>
        <v>0</v>
      </c>
      <c r="AS210" s="64"/>
      <c r="AT210" s="65"/>
      <c r="AU210" s="66"/>
      <c r="AV210" s="67" t="e">
        <f>#REF!-#REF!</f>
        <v>#REF!</v>
      </c>
    </row>
    <row r="211" spans="1:48" customFormat="1" ht="25.5" customHeight="1" outlineLevel="2">
      <c r="A211" s="542">
        <v>2261</v>
      </c>
      <c r="B211" s="679" t="s">
        <v>4530</v>
      </c>
      <c r="C211" s="632">
        <v>61</v>
      </c>
      <c r="D211" s="542">
        <v>2261</v>
      </c>
      <c r="E211" s="633" t="s">
        <v>4543</v>
      </c>
      <c r="F211" s="634" t="s">
        <v>5581</v>
      </c>
      <c r="G211" s="635">
        <v>16</v>
      </c>
      <c r="H211" s="636" t="s">
        <v>5590</v>
      </c>
      <c r="I211" s="637">
        <v>22</v>
      </c>
      <c r="J211" s="638" t="s">
        <v>4575</v>
      </c>
      <c r="K211" s="639"/>
      <c r="L211" s="640">
        <v>44513</v>
      </c>
      <c r="M211" s="641" t="s">
        <v>13</v>
      </c>
      <c r="N211" s="642">
        <v>44514</v>
      </c>
      <c r="O211" s="643">
        <v>0</v>
      </c>
      <c r="P211" s="644">
        <v>200000</v>
      </c>
      <c r="Q211" s="645">
        <f t="shared" si="88"/>
        <v>300000</v>
      </c>
      <c r="R211" s="646">
        <v>200000</v>
      </c>
      <c r="S211" s="441">
        <v>100000</v>
      </c>
      <c r="T211" s="647">
        <v>200000</v>
      </c>
      <c r="U211" s="681">
        <v>300000</v>
      </c>
      <c r="V211" s="649"/>
      <c r="W211" s="650"/>
      <c r="X211" s="651">
        <f>+N211+14</f>
        <v>44528</v>
      </c>
      <c r="Y211" s="746"/>
      <c r="Z211" s="652"/>
      <c r="AA211" s="682">
        <f t="shared" si="89"/>
        <v>300000</v>
      </c>
      <c r="AB211" s="655">
        <f>SUM(AE211:AI211)+AJ211</f>
        <v>100000</v>
      </c>
      <c r="AC211" s="747"/>
      <c r="AD211" s="656">
        <v>100000</v>
      </c>
      <c r="AE211" s="657"/>
      <c r="AF211" s="658"/>
      <c r="AG211" s="658"/>
      <c r="AH211" s="658"/>
      <c r="AI211" s="659"/>
      <c r="AJ211" s="660">
        <f t="shared" si="91"/>
        <v>100000</v>
      </c>
      <c r="AK211" s="661"/>
      <c r="AL211" s="662" t="s">
        <v>5591</v>
      </c>
      <c r="AM211" s="308" t="str">
        <f t="shared" si="94"/>
        <v>2261</v>
      </c>
      <c r="AN211" s="369" t="str">
        <f t="shared" si="95"/>
        <v>2261</v>
      </c>
      <c r="AO211" s="542">
        <v>2261</v>
      </c>
      <c r="AP211" s="542"/>
      <c r="AR211" s="168">
        <f t="shared" si="92"/>
        <v>0</v>
      </c>
      <c r="AS211" s="54"/>
      <c r="AT211" s="55"/>
      <c r="AU211" s="41"/>
      <c r="AV211" s="57" t="e">
        <f>#REF!-#REF!</f>
        <v>#REF!</v>
      </c>
    </row>
    <row r="212" spans="1:48" customFormat="1" ht="25.5" customHeight="1" outlineLevel="2">
      <c r="A212" s="542">
        <v>2361</v>
      </c>
      <c r="B212" s="569" t="s">
        <v>4530</v>
      </c>
      <c r="C212" s="458">
        <v>61</v>
      </c>
      <c r="D212" s="542">
        <v>2361</v>
      </c>
      <c r="E212" s="407" t="s">
        <v>4534</v>
      </c>
      <c r="F212" s="428" t="s">
        <v>5581</v>
      </c>
      <c r="G212" s="409"/>
      <c r="H212" s="429" t="s">
        <v>5592</v>
      </c>
      <c r="I212" s="411">
        <v>23</v>
      </c>
      <c r="J212" s="459" t="s">
        <v>4575</v>
      </c>
      <c r="K212" s="560"/>
      <c r="L212" s="413">
        <v>44444</v>
      </c>
      <c r="M212" s="464" t="s">
        <v>13</v>
      </c>
      <c r="N212" s="415">
        <v>44549</v>
      </c>
      <c r="O212" s="280">
        <v>180000</v>
      </c>
      <c r="P212" s="465">
        <v>250000</v>
      </c>
      <c r="Q212" s="263">
        <f>R212+S212</f>
        <v>180000</v>
      </c>
      <c r="R212" s="284">
        <v>180000</v>
      </c>
      <c r="S212" s="285"/>
      <c r="T212" s="466">
        <v>250000</v>
      </c>
      <c r="U212" s="544">
        <v>180000</v>
      </c>
      <c r="V212" s="43"/>
      <c r="W212" s="44"/>
      <c r="X212" s="45">
        <f>+N212+14</f>
        <v>44563</v>
      </c>
      <c r="Y212" s="187"/>
      <c r="Z212" s="46"/>
      <c r="AA212" s="168">
        <f>Q212</f>
        <v>180000</v>
      </c>
      <c r="AB212" s="142">
        <f>SUM(AE212:AI212)+AJ212</f>
        <v>50000</v>
      </c>
      <c r="AC212" s="562"/>
      <c r="AD212" s="424">
        <f t="shared" ref="AD212:AD222" si="96">SUM(AE212:AJ212)-AJ212</f>
        <v>0</v>
      </c>
      <c r="AE212" s="49"/>
      <c r="AF212" s="50"/>
      <c r="AG212" s="50"/>
      <c r="AH212" s="50"/>
      <c r="AI212" s="51"/>
      <c r="AJ212" s="52">
        <v>50000</v>
      </c>
      <c r="AK212" s="462"/>
      <c r="AL212" s="442" t="s">
        <v>4576</v>
      </c>
      <c r="AM212" s="308" t="str">
        <f t="shared" si="94"/>
        <v>2361</v>
      </c>
      <c r="AN212" s="369" t="str">
        <f t="shared" si="95"/>
        <v>2361</v>
      </c>
      <c r="AO212" s="542">
        <v>2361</v>
      </c>
      <c r="AP212" s="542"/>
      <c r="AR212" s="168">
        <f>U215+AB212</f>
        <v>50000</v>
      </c>
      <c r="AS212" s="54"/>
      <c r="AT212" s="55"/>
      <c r="AU212" s="41"/>
      <c r="AV212" s="57" t="e">
        <f>#REF!-#REF!</f>
        <v>#REF!</v>
      </c>
    </row>
    <row r="213" spans="1:48" s="470" customFormat="1" ht="25.5" customHeight="1" outlineLevel="2">
      <c r="A213" s="463" t="s">
        <v>4454</v>
      </c>
      <c r="B213" s="485" t="s">
        <v>4530</v>
      </c>
      <c r="C213" s="472">
        <v>61</v>
      </c>
      <c r="D213" s="463" t="s">
        <v>4454</v>
      </c>
      <c r="E213" s="473" t="s">
        <v>4534</v>
      </c>
      <c r="F213" s="474" t="s">
        <v>5581</v>
      </c>
      <c r="G213" s="475"/>
      <c r="H213" s="486" t="s">
        <v>4466</v>
      </c>
      <c r="I213" s="476"/>
      <c r="J213" s="477"/>
      <c r="K213" s="437"/>
      <c r="L213" s="487"/>
      <c r="M213" s="464" t="s">
        <v>13</v>
      </c>
      <c r="N213" s="488"/>
      <c r="O213" s="280">
        <v>0</v>
      </c>
      <c r="P213" s="465"/>
      <c r="Q213" s="263">
        <f t="shared" si="88"/>
        <v>0</v>
      </c>
      <c r="R213" s="278"/>
      <c r="S213" s="279"/>
      <c r="T213" s="466"/>
      <c r="U213" s="544">
        <v>0</v>
      </c>
      <c r="V213" s="61"/>
      <c r="W213" s="68"/>
      <c r="X213" s="79"/>
      <c r="Y213" s="172"/>
      <c r="Z213" s="70"/>
      <c r="AA213" s="71">
        <f t="shared" ref="AA213:AA222" si="97">Q213+AB213-AJ213</f>
        <v>0</v>
      </c>
      <c r="AB213" s="166">
        <f t="shared" ref="AB213:AB219" si="98">SUM(AE213:AI213)+AJ213</f>
        <v>0</v>
      </c>
      <c r="AC213" s="281"/>
      <c r="AD213" s="545">
        <f t="shared" si="96"/>
        <v>0</v>
      </c>
      <c r="AE213" s="62"/>
      <c r="AF213" s="73"/>
      <c r="AG213" s="73"/>
      <c r="AH213" s="73"/>
      <c r="AI213" s="74"/>
      <c r="AJ213" s="75">
        <f t="shared" si="91"/>
        <v>0</v>
      </c>
      <c r="AK213" s="467"/>
      <c r="AL213" s="546"/>
      <c r="AM213" s="468" t="str">
        <f t="shared" si="94"/>
        <v/>
      </c>
      <c r="AN213" s="469" t="str">
        <f t="shared" si="95"/>
        <v/>
      </c>
      <c r="AO213" s="463" t="s">
        <v>4454</v>
      </c>
      <c r="AP213" s="463"/>
      <c r="AR213" s="71"/>
      <c r="AS213" s="64"/>
      <c r="AT213" s="65"/>
      <c r="AU213" s="66"/>
      <c r="AV213" s="67" t="e">
        <f>#REF!-#REF!</f>
        <v>#REF!</v>
      </c>
    </row>
    <row r="214" spans="1:48" s="470" customFormat="1" ht="25.5" customHeight="1" outlineLevel="2">
      <c r="A214" s="463" t="s">
        <v>4454</v>
      </c>
      <c r="B214" s="485" t="s">
        <v>4530</v>
      </c>
      <c r="C214" s="472">
        <v>61</v>
      </c>
      <c r="D214" s="463" t="s">
        <v>4454</v>
      </c>
      <c r="E214" s="473" t="s">
        <v>4534</v>
      </c>
      <c r="F214" s="474" t="s">
        <v>5581</v>
      </c>
      <c r="G214" s="475"/>
      <c r="H214" s="486" t="s">
        <v>4467</v>
      </c>
      <c r="I214" s="476"/>
      <c r="J214" s="477"/>
      <c r="K214" s="437"/>
      <c r="L214" s="487"/>
      <c r="M214" s="464" t="s">
        <v>13</v>
      </c>
      <c r="N214" s="488"/>
      <c r="O214" s="280">
        <v>0</v>
      </c>
      <c r="P214" s="465"/>
      <c r="Q214" s="263">
        <f t="shared" si="88"/>
        <v>0</v>
      </c>
      <c r="R214" s="278"/>
      <c r="S214" s="279"/>
      <c r="T214" s="466"/>
      <c r="U214" s="544">
        <v>0</v>
      </c>
      <c r="V214" s="61"/>
      <c r="W214" s="68"/>
      <c r="X214" s="79"/>
      <c r="Y214" s="172"/>
      <c r="Z214" s="70"/>
      <c r="AA214" s="71">
        <f t="shared" si="97"/>
        <v>0</v>
      </c>
      <c r="AB214" s="166">
        <f t="shared" si="98"/>
        <v>0</v>
      </c>
      <c r="AC214" s="281"/>
      <c r="AD214" s="545">
        <f t="shared" si="96"/>
        <v>0</v>
      </c>
      <c r="AE214" s="62"/>
      <c r="AF214" s="73"/>
      <c r="AG214" s="73"/>
      <c r="AH214" s="73"/>
      <c r="AI214" s="74"/>
      <c r="AJ214" s="75">
        <f t="shared" si="91"/>
        <v>0</v>
      </c>
      <c r="AK214" s="467"/>
      <c r="AL214" s="185"/>
      <c r="AM214" s="468" t="str">
        <f t="shared" si="94"/>
        <v/>
      </c>
      <c r="AN214" s="469" t="str">
        <f t="shared" si="95"/>
        <v/>
      </c>
      <c r="AO214" s="463" t="s">
        <v>4454</v>
      </c>
      <c r="AP214" s="463"/>
      <c r="AR214" s="71"/>
      <c r="AS214" s="64"/>
      <c r="AT214" s="65"/>
      <c r="AU214" s="66"/>
      <c r="AV214" s="67" t="e">
        <f>#REF!-#REF!</f>
        <v>#REF!</v>
      </c>
    </row>
    <row r="215" spans="1:48" s="470" customFormat="1" ht="25.5" customHeight="1" outlineLevel="2">
      <c r="A215" s="463" t="s">
        <v>4454</v>
      </c>
      <c r="B215" s="485" t="s">
        <v>4530</v>
      </c>
      <c r="C215" s="472">
        <v>61</v>
      </c>
      <c r="D215" s="463" t="s">
        <v>4454</v>
      </c>
      <c r="E215" s="473" t="s">
        <v>4534</v>
      </c>
      <c r="F215" s="474" t="s">
        <v>5581</v>
      </c>
      <c r="G215" s="475"/>
      <c r="H215" s="486" t="s">
        <v>4468</v>
      </c>
      <c r="I215" s="476"/>
      <c r="J215" s="477"/>
      <c r="K215" s="437"/>
      <c r="L215" s="487"/>
      <c r="M215" s="464" t="s">
        <v>13</v>
      </c>
      <c r="N215" s="488"/>
      <c r="O215" s="280">
        <v>0</v>
      </c>
      <c r="P215" s="465"/>
      <c r="Q215" s="263">
        <f t="shared" si="88"/>
        <v>0</v>
      </c>
      <c r="R215" s="278"/>
      <c r="S215" s="279"/>
      <c r="T215" s="466"/>
      <c r="U215" s="544">
        <v>0</v>
      </c>
      <c r="V215" s="61"/>
      <c r="W215" s="68"/>
      <c r="X215" s="79"/>
      <c r="Y215" s="172"/>
      <c r="Z215" s="70"/>
      <c r="AA215" s="71">
        <f t="shared" si="97"/>
        <v>0</v>
      </c>
      <c r="AB215" s="166">
        <f t="shared" si="98"/>
        <v>0</v>
      </c>
      <c r="AC215" s="281"/>
      <c r="AD215" s="545">
        <f t="shared" si="96"/>
        <v>0</v>
      </c>
      <c r="AE215" s="62"/>
      <c r="AF215" s="73"/>
      <c r="AG215" s="73"/>
      <c r="AH215" s="73"/>
      <c r="AI215" s="74"/>
      <c r="AJ215" s="75"/>
      <c r="AK215" s="467"/>
      <c r="AL215" s="185"/>
      <c r="AM215" s="468" t="str">
        <f t="shared" si="94"/>
        <v/>
      </c>
      <c r="AN215" s="469" t="str">
        <f t="shared" si="95"/>
        <v/>
      </c>
      <c r="AO215" s="463" t="s">
        <v>4454</v>
      </c>
      <c r="AP215" s="463"/>
      <c r="AR215" s="71"/>
      <c r="AS215" s="64"/>
      <c r="AT215" s="65"/>
      <c r="AU215" s="66"/>
      <c r="AV215" s="67" t="e">
        <f>#REF!-#REF!</f>
        <v>#REF!</v>
      </c>
    </row>
    <row r="216" spans="1:48" s="470" customFormat="1" ht="25.5" customHeight="1" outlineLevel="2">
      <c r="A216" s="463" t="s">
        <v>4454</v>
      </c>
      <c r="B216" s="485" t="s">
        <v>4530</v>
      </c>
      <c r="C216" s="472">
        <v>61</v>
      </c>
      <c r="D216" s="463" t="s">
        <v>4454</v>
      </c>
      <c r="E216" s="473" t="s">
        <v>4534</v>
      </c>
      <c r="F216" s="474" t="s">
        <v>5581</v>
      </c>
      <c r="G216" s="475"/>
      <c r="H216" s="570" t="s">
        <v>5593</v>
      </c>
      <c r="I216" s="476"/>
      <c r="J216" s="477"/>
      <c r="K216" s="437"/>
      <c r="L216" s="487"/>
      <c r="M216" s="464" t="s">
        <v>13</v>
      </c>
      <c r="N216" s="488"/>
      <c r="O216" s="280">
        <v>0</v>
      </c>
      <c r="P216" s="465"/>
      <c r="Q216" s="263">
        <f t="shared" si="88"/>
        <v>0</v>
      </c>
      <c r="R216" s="278"/>
      <c r="S216" s="279"/>
      <c r="T216" s="466"/>
      <c r="U216" s="544">
        <v>0</v>
      </c>
      <c r="V216" s="61"/>
      <c r="W216" s="68"/>
      <c r="X216" s="79"/>
      <c r="Y216" s="172"/>
      <c r="Z216" s="70"/>
      <c r="AA216" s="71">
        <f t="shared" si="97"/>
        <v>0</v>
      </c>
      <c r="AB216" s="166">
        <f t="shared" si="98"/>
        <v>0</v>
      </c>
      <c r="AC216" s="281"/>
      <c r="AD216" s="545">
        <f t="shared" si="96"/>
        <v>0</v>
      </c>
      <c r="AE216" s="62"/>
      <c r="AF216" s="73"/>
      <c r="AG216" s="73"/>
      <c r="AH216" s="73"/>
      <c r="AI216" s="74"/>
      <c r="AJ216" s="75"/>
      <c r="AK216" s="467"/>
      <c r="AL216" s="546"/>
      <c r="AM216" s="468" t="str">
        <f t="shared" si="94"/>
        <v/>
      </c>
      <c r="AN216" s="469" t="str">
        <f t="shared" si="95"/>
        <v/>
      </c>
      <c r="AO216" s="463" t="s">
        <v>4454</v>
      </c>
      <c r="AP216" s="463"/>
      <c r="AR216" s="71"/>
      <c r="AS216" s="64"/>
      <c r="AT216" s="65"/>
      <c r="AU216" s="66"/>
      <c r="AV216" s="67" t="e">
        <f>#REF!-#REF!</f>
        <v>#REF!</v>
      </c>
    </row>
    <row r="217" spans="1:48" s="470" customFormat="1" ht="25.5" customHeight="1" outlineLevel="2">
      <c r="A217" s="463" t="s">
        <v>4454</v>
      </c>
      <c r="B217" s="485" t="s">
        <v>4530</v>
      </c>
      <c r="C217" s="472">
        <v>61</v>
      </c>
      <c r="D217" s="463" t="s">
        <v>4454</v>
      </c>
      <c r="E217" s="473" t="s">
        <v>4534</v>
      </c>
      <c r="F217" s="474" t="s">
        <v>5581</v>
      </c>
      <c r="G217" s="475"/>
      <c r="H217" s="486" t="s">
        <v>4469</v>
      </c>
      <c r="I217" s="476"/>
      <c r="J217" s="477"/>
      <c r="K217" s="437"/>
      <c r="L217" s="487"/>
      <c r="M217" s="464" t="s">
        <v>13</v>
      </c>
      <c r="N217" s="488"/>
      <c r="O217" s="280">
        <v>0</v>
      </c>
      <c r="P217" s="465"/>
      <c r="Q217" s="263">
        <f t="shared" si="88"/>
        <v>0</v>
      </c>
      <c r="R217" s="278"/>
      <c r="S217" s="279"/>
      <c r="T217" s="466"/>
      <c r="U217" s="544">
        <v>0</v>
      </c>
      <c r="V217" s="61"/>
      <c r="W217" s="68"/>
      <c r="X217" s="79"/>
      <c r="Y217" s="172"/>
      <c r="Z217" s="70"/>
      <c r="AA217" s="71">
        <f t="shared" si="97"/>
        <v>0</v>
      </c>
      <c r="AB217" s="166">
        <f t="shared" si="98"/>
        <v>0</v>
      </c>
      <c r="AC217" s="281"/>
      <c r="AD217" s="545">
        <f t="shared" si="96"/>
        <v>0</v>
      </c>
      <c r="AE217" s="62"/>
      <c r="AF217" s="73"/>
      <c r="AG217" s="73"/>
      <c r="AH217" s="73"/>
      <c r="AI217" s="74"/>
      <c r="AJ217" s="75"/>
      <c r="AK217" s="467"/>
      <c r="AL217" s="185"/>
      <c r="AM217" s="468" t="str">
        <f t="shared" si="94"/>
        <v/>
      </c>
      <c r="AN217" s="469" t="str">
        <f t="shared" si="95"/>
        <v/>
      </c>
      <c r="AO217" s="463" t="s">
        <v>4454</v>
      </c>
      <c r="AP217" s="463"/>
      <c r="AR217" s="71"/>
      <c r="AS217" s="64"/>
      <c r="AT217" s="65"/>
      <c r="AU217" s="66"/>
      <c r="AV217" s="67" t="e">
        <f>#REF!-#REF!</f>
        <v>#REF!</v>
      </c>
    </row>
    <row r="218" spans="1:48" s="470" customFormat="1" ht="25.5" customHeight="1" outlineLevel="2">
      <c r="A218" s="463" t="s">
        <v>4454</v>
      </c>
      <c r="B218" s="485" t="s">
        <v>4530</v>
      </c>
      <c r="C218" s="472">
        <v>61</v>
      </c>
      <c r="D218" s="463" t="s">
        <v>4454</v>
      </c>
      <c r="E218" s="473" t="s">
        <v>4534</v>
      </c>
      <c r="F218" s="474" t="s">
        <v>5581</v>
      </c>
      <c r="G218" s="475"/>
      <c r="H218" s="486" t="s">
        <v>5594</v>
      </c>
      <c r="I218" s="476"/>
      <c r="J218" s="477"/>
      <c r="K218" s="437"/>
      <c r="L218" s="487"/>
      <c r="M218" s="464" t="s">
        <v>13</v>
      </c>
      <c r="N218" s="488"/>
      <c r="O218" s="280">
        <v>0</v>
      </c>
      <c r="P218" s="465"/>
      <c r="Q218" s="263">
        <f t="shared" si="88"/>
        <v>0</v>
      </c>
      <c r="R218" s="278"/>
      <c r="S218" s="279"/>
      <c r="T218" s="466"/>
      <c r="U218" s="544">
        <v>0</v>
      </c>
      <c r="V218" s="61"/>
      <c r="W218" s="68"/>
      <c r="X218" s="171"/>
      <c r="Y218" s="172"/>
      <c r="Z218" s="70"/>
      <c r="AA218" s="71">
        <f t="shared" si="97"/>
        <v>0</v>
      </c>
      <c r="AB218" s="166">
        <f t="shared" si="98"/>
        <v>0</v>
      </c>
      <c r="AC218" s="281"/>
      <c r="AD218" s="545">
        <f t="shared" si="96"/>
        <v>0</v>
      </c>
      <c r="AE218" s="62"/>
      <c r="AF218" s="73"/>
      <c r="AG218" s="73"/>
      <c r="AH218" s="73"/>
      <c r="AI218" s="74"/>
      <c r="AJ218" s="75"/>
      <c r="AK218" s="467"/>
      <c r="AL218" s="546" t="s">
        <v>4536</v>
      </c>
      <c r="AM218" s="468" t="str">
        <f t="shared" si="94"/>
        <v/>
      </c>
      <c r="AN218" s="469" t="str">
        <f t="shared" si="95"/>
        <v/>
      </c>
      <c r="AO218" s="463" t="s">
        <v>4454</v>
      </c>
      <c r="AP218" s="463"/>
      <c r="AR218" s="71"/>
      <c r="AS218" s="64"/>
      <c r="AT218" s="65"/>
      <c r="AU218" s="66"/>
      <c r="AV218" s="67"/>
    </row>
    <row r="219" spans="1:48" s="470" customFormat="1" ht="25.5" customHeight="1" outlineLevel="2">
      <c r="A219" s="463" t="s">
        <v>4454</v>
      </c>
      <c r="B219" s="485" t="s">
        <v>4530</v>
      </c>
      <c r="C219" s="472">
        <v>61</v>
      </c>
      <c r="D219" s="463" t="s">
        <v>4454</v>
      </c>
      <c r="E219" s="473" t="s">
        <v>4534</v>
      </c>
      <c r="F219" s="474" t="s">
        <v>5581</v>
      </c>
      <c r="G219" s="475"/>
      <c r="H219" s="486" t="s">
        <v>5595</v>
      </c>
      <c r="I219" s="476"/>
      <c r="J219" s="477"/>
      <c r="K219" s="437"/>
      <c r="L219" s="487"/>
      <c r="M219" s="464" t="s">
        <v>13</v>
      </c>
      <c r="N219" s="488"/>
      <c r="O219" s="280">
        <v>0</v>
      </c>
      <c r="P219" s="465"/>
      <c r="Q219" s="263">
        <f t="shared" si="88"/>
        <v>0</v>
      </c>
      <c r="R219" s="278"/>
      <c r="S219" s="279"/>
      <c r="T219" s="466"/>
      <c r="U219" s="544">
        <v>0</v>
      </c>
      <c r="V219" s="61"/>
      <c r="W219" s="68"/>
      <c r="X219" s="171"/>
      <c r="Y219" s="172"/>
      <c r="Z219" s="70"/>
      <c r="AA219" s="71">
        <f t="shared" si="97"/>
        <v>0</v>
      </c>
      <c r="AB219" s="166">
        <f t="shared" si="98"/>
        <v>0</v>
      </c>
      <c r="AC219" s="281"/>
      <c r="AD219" s="545">
        <f t="shared" si="96"/>
        <v>0</v>
      </c>
      <c r="AE219" s="62"/>
      <c r="AF219" s="73"/>
      <c r="AG219" s="73"/>
      <c r="AH219" s="73"/>
      <c r="AI219" s="74"/>
      <c r="AJ219" s="75"/>
      <c r="AK219" s="467"/>
      <c r="AL219" s="546" t="s">
        <v>4536</v>
      </c>
      <c r="AM219" s="468" t="str">
        <f t="shared" si="94"/>
        <v/>
      </c>
      <c r="AN219" s="469" t="str">
        <f t="shared" si="95"/>
        <v/>
      </c>
      <c r="AO219" s="463" t="s">
        <v>4454</v>
      </c>
      <c r="AP219" s="463"/>
      <c r="AR219" s="71"/>
      <c r="AS219" s="64"/>
      <c r="AT219" s="65"/>
      <c r="AU219" s="66"/>
      <c r="AV219" s="67" t="e">
        <f>#REF!-#REF!</f>
        <v>#REF!</v>
      </c>
    </row>
    <row r="220" spans="1:48" s="470" customFormat="1" ht="25.5" customHeight="1" outlineLevel="2">
      <c r="A220" s="463" t="s">
        <v>4454</v>
      </c>
      <c r="B220" s="485"/>
      <c r="C220" s="472" t="s">
        <v>4575</v>
      </c>
      <c r="D220" s="463" t="s">
        <v>4454</v>
      </c>
      <c r="E220" s="473"/>
      <c r="F220" s="474" t="s">
        <v>5581</v>
      </c>
      <c r="G220" s="475"/>
      <c r="H220" s="486"/>
      <c r="I220" s="476"/>
      <c r="J220" s="477"/>
      <c r="K220" s="437"/>
      <c r="L220" s="487"/>
      <c r="M220" s="464" t="s">
        <v>13</v>
      </c>
      <c r="N220" s="488"/>
      <c r="O220" s="280">
        <v>0</v>
      </c>
      <c r="P220" s="465"/>
      <c r="Q220" s="263">
        <f t="shared" si="88"/>
        <v>0</v>
      </c>
      <c r="R220" s="278"/>
      <c r="S220" s="279"/>
      <c r="T220" s="466"/>
      <c r="U220" s="544">
        <v>0</v>
      </c>
      <c r="V220" s="61"/>
      <c r="W220" s="68"/>
      <c r="X220" s="79"/>
      <c r="Y220" s="70"/>
      <c r="Z220" s="70"/>
      <c r="AA220" s="63">
        <f t="shared" si="97"/>
        <v>0</v>
      </c>
      <c r="AB220" s="72"/>
      <c r="AC220" s="267"/>
      <c r="AD220" s="545">
        <f t="shared" si="96"/>
        <v>0</v>
      </c>
      <c r="AE220" s="62"/>
      <c r="AF220" s="73"/>
      <c r="AG220" s="73"/>
      <c r="AH220" s="73"/>
      <c r="AI220" s="74"/>
      <c r="AJ220" s="75"/>
      <c r="AK220" s="467"/>
      <c r="AL220" s="546"/>
      <c r="AM220" s="468" t="str">
        <f t="shared" si="94"/>
        <v/>
      </c>
      <c r="AN220" s="469" t="str">
        <f t="shared" si="95"/>
        <v/>
      </c>
      <c r="AO220" s="463" t="s">
        <v>4454</v>
      </c>
      <c r="AP220" s="463"/>
      <c r="AR220" s="63"/>
      <c r="AS220" s="64"/>
      <c r="AT220" s="65"/>
      <c r="AU220" s="66"/>
      <c r="AV220" s="67" t="e">
        <f>#REF!-#REF!</f>
        <v>#REF!</v>
      </c>
    </row>
    <row r="221" spans="1:48" s="470" customFormat="1" ht="25.5" customHeight="1" outlineLevel="2">
      <c r="A221" s="463" t="s">
        <v>4454</v>
      </c>
      <c r="B221" s="485"/>
      <c r="C221" s="472" t="s">
        <v>4575</v>
      </c>
      <c r="D221" s="463" t="s">
        <v>4454</v>
      </c>
      <c r="E221" s="473"/>
      <c r="F221" s="474" t="s">
        <v>5581</v>
      </c>
      <c r="G221" s="475"/>
      <c r="H221" s="486"/>
      <c r="I221" s="476"/>
      <c r="J221" s="477"/>
      <c r="K221" s="437"/>
      <c r="L221" s="487"/>
      <c r="M221" s="464" t="s">
        <v>13</v>
      </c>
      <c r="N221" s="488"/>
      <c r="O221" s="280">
        <v>0</v>
      </c>
      <c r="P221" s="465"/>
      <c r="Q221" s="263">
        <f t="shared" si="88"/>
        <v>0</v>
      </c>
      <c r="R221" s="278"/>
      <c r="S221" s="279"/>
      <c r="T221" s="466"/>
      <c r="U221" s="544">
        <v>0</v>
      </c>
      <c r="V221" s="61"/>
      <c r="W221" s="68"/>
      <c r="X221" s="79"/>
      <c r="Y221" s="70"/>
      <c r="Z221" s="70"/>
      <c r="AA221" s="63">
        <f t="shared" si="97"/>
        <v>0</v>
      </c>
      <c r="AB221" s="72"/>
      <c r="AC221" s="267"/>
      <c r="AD221" s="545">
        <f t="shared" si="96"/>
        <v>0</v>
      </c>
      <c r="AE221" s="62"/>
      <c r="AF221" s="73"/>
      <c r="AG221" s="73"/>
      <c r="AH221" s="73"/>
      <c r="AI221" s="74"/>
      <c r="AJ221" s="75"/>
      <c r="AK221" s="467"/>
      <c r="AL221" s="546"/>
      <c r="AM221" s="468" t="str">
        <f t="shared" si="94"/>
        <v/>
      </c>
      <c r="AN221" s="469" t="str">
        <f t="shared" si="95"/>
        <v/>
      </c>
      <c r="AO221" s="463" t="s">
        <v>4454</v>
      </c>
      <c r="AP221" s="463"/>
      <c r="AR221" s="63"/>
      <c r="AS221" s="64"/>
      <c r="AT221" s="65"/>
      <c r="AU221" s="66"/>
      <c r="AV221" s="67" t="e">
        <f>#REF!-#REF!</f>
        <v>#REF!</v>
      </c>
    </row>
    <row r="222" spans="1:48" s="470" customFormat="1" ht="25.5" customHeight="1" outlineLevel="2" thickBot="1">
      <c r="A222" s="463">
        <v>1761</v>
      </c>
      <c r="B222" s="608" t="s">
        <v>4500</v>
      </c>
      <c r="C222" s="472">
        <v>61</v>
      </c>
      <c r="D222" s="463">
        <v>1761</v>
      </c>
      <c r="E222" s="473" t="s">
        <v>4512</v>
      </c>
      <c r="F222" s="474" t="s">
        <v>5581</v>
      </c>
      <c r="G222" s="475"/>
      <c r="H222" s="486" t="s">
        <v>4577</v>
      </c>
      <c r="I222" s="476">
        <v>17</v>
      </c>
      <c r="J222" s="477" t="s">
        <v>4575</v>
      </c>
      <c r="K222" s="478"/>
      <c r="L222" s="487"/>
      <c r="M222" s="464" t="s">
        <v>13</v>
      </c>
      <c r="N222" s="488"/>
      <c r="O222" s="280">
        <v>0</v>
      </c>
      <c r="P222" s="465"/>
      <c r="Q222" s="479">
        <f t="shared" si="88"/>
        <v>0</v>
      </c>
      <c r="R222" s="278"/>
      <c r="S222" s="279"/>
      <c r="T222" s="466"/>
      <c r="U222" s="561">
        <v>0</v>
      </c>
      <c r="V222" s="61"/>
      <c r="W222" s="68"/>
      <c r="X222" s="79">
        <v>43200</v>
      </c>
      <c r="Y222" s="172"/>
      <c r="Z222" s="70"/>
      <c r="AA222" s="71">
        <f t="shared" si="97"/>
        <v>0</v>
      </c>
      <c r="AB222" s="72">
        <f>SUM(AE222:AI222)</f>
        <v>0</v>
      </c>
      <c r="AC222" s="267"/>
      <c r="AD222" s="545">
        <f t="shared" si="96"/>
        <v>0</v>
      </c>
      <c r="AE222" s="62"/>
      <c r="AF222" s="73"/>
      <c r="AG222" s="73"/>
      <c r="AH222" s="73"/>
      <c r="AI222" s="74"/>
      <c r="AJ222" s="75"/>
      <c r="AK222" s="467"/>
      <c r="AL222" s="748"/>
      <c r="AM222" s="468" t="str">
        <f t="shared" si="94"/>
        <v>1761</v>
      </c>
      <c r="AN222" s="469" t="str">
        <f t="shared" si="95"/>
        <v>1761</v>
      </c>
      <c r="AO222" s="463">
        <v>1761</v>
      </c>
      <c r="AP222" s="463"/>
      <c r="AR222" s="71">
        <f>U225+AB222</f>
        <v>300000</v>
      </c>
      <c r="AS222" s="64"/>
      <c r="AT222" s="65"/>
      <c r="AU222" s="66"/>
      <c r="AV222" s="67" t="e">
        <f>#REF!-#REF!</f>
        <v>#REF!</v>
      </c>
    </row>
    <row r="223" spans="1:48" ht="25.5" customHeight="1" outlineLevel="1" thickBot="1">
      <c r="A223" s="291" t="s">
        <v>4454</v>
      </c>
      <c r="B223" s="507"/>
      <c r="C223" s="508">
        <v>61</v>
      </c>
      <c r="D223" s="291" t="s">
        <v>4454</v>
      </c>
      <c r="E223" s="509"/>
      <c r="F223" s="510" t="s">
        <v>5596</v>
      </c>
      <c r="G223" s="511"/>
      <c r="H223" s="512"/>
      <c r="I223" s="513"/>
      <c r="J223" s="514"/>
      <c r="K223" s="515"/>
      <c r="L223" s="516"/>
      <c r="M223" s="517"/>
      <c r="N223" s="518"/>
      <c r="O223" s="519">
        <v>980000</v>
      </c>
      <c r="P223" s="520">
        <f>SUM(P203:P222)</f>
        <v>1320000</v>
      </c>
      <c r="Q223" s="521">
        <f>SUBTOTAL(9,Q203:Q222)</f>
        <v>1300000</v>
      </c>
      <c r="R223" s="522">
        <f>SUBTOTAL(9,R203:R222)</f>
        <v>380000</v>
      </c>
      <c r="S223" s="523">
        <f>SUBTOTAL(9,S203:S222)</f>
        <v>920000</v>
      </c>
      <c r="T223" s="524">
        <v>1320000</v>
      </c>
      <c r="U223" s="549">
        <v>1300000</v>
      </c>
      <c r="V223" s="94"/>
      <c r="W223" s="95"/>
      <c r="X223" s="96"/>
      <c r="Y223" s="97"/>
      <c r="Z223" s="97"/>
      <c r="AA223" s="137">
        <f>SUBTOTAL(9,AA203:AA222)</f>
        <v>1300000</v>
      </c>
      <c r="AB223" s="99">
        <f t="shared" ref="AB223:AK223" si="99">SUBTOTAL(9,AB203:AB222)</f>
        <v>970000</v>
      </c>
      <c r="AC223" s="273"/>
      <c r="AD223" s="526">
        <f>SUM(AE223:AJ223)</f>
        <v>970000</v>
      </c>
      <c r="AE223" s="100">
        <f t="shared" si="99"/>
        <v>0</v>
      </c>
      <c r="AF223" s="101">
        <f t="shared" si="99"/>
        <v>0</v>
      </c>
      <c r="AG223" s="101">
        <f t="shared" si="99"/>
        <v>0</v>
      </c>
      <c r="AH223" s="101">
        <f t="shared" si="99"/>
        <v>0</v>
      </c>
      <c r="AI223" s="102">
        <f t="shared" si="99"/>
        <v>0</v>
      </c>
      <c r="AJ223" s="103">
        <f t="shared" si="99"/>
        <v>970000</v>
      </c>
      <c r="AK223" s="527">
        <f t="shared" si="99"/>
        <v>0</v>
      </c>
      <c r="AL223" s="550">
        <f>Q202+Q223</f>
        <v>1350000</v>
      </c>
      <c r="AM223" s="308" t="str">
        <f t="shared" si="94"/>
        <v/>
      </c>
      <c r="AN223" s="369" t="str">
        <f t="shared" si="95"/>
        <v/>
      </c>
      <c r="AO223" s="291" t="s">
        <v>4454</v>
      </c>
      <c r="AR223" s="137">
        <f>SUBTOTAL(9,AR203:AR222)</f>
        <v>830000</v>
      </c>
      <c r="AS223" s="107"/>
      <c r="AT223" s="108">
        <f>SUBTOTAL(9,AT203:AT222)</f>
        <v>0</v>
      </c>
      <c r="AU223" s="109"/>
      <c r="AV223" s="110" t="e">
        <f>SUBTOTAL(9,AV203:AV222)</f>
        <v>#REF!</v>
      </c>
    </row>
    <row r="224" spans="1:48" customFormat="1" ht="25.5" customHeight="1" outlineLevel="2">
      <c r="A224" s="542" t="s">
        <v>4454</v>
      </c>
      <c r="B224" s="564" t="s">
        <v>4530</v>
      </c>
      <c r="C224" s="530">
        <v>71</v>
      </c>
      <c r="D224" s="542" t="s">
        <v>4454</v>
      </c>
      <c r="E224" s="531" t="s">
        <v>4531</v>
      </c>
      <c r="F224" s="532" t="s">
        <v>4579</v>
      </c>
      <c r="G224" s="533"/>
      <c r="H224" s="534" t="s">
        <v>5597</v>
      </c>
      <c r="I224" s="535"/>
      <c r="J224" s="536"/>
      <c r="K224" s="693"/>
      <c r="L224" s="567"/>
      <c r="M224" s="695" t="s">
        <v>13</v>
      </c>
      <c r="N224" s="568"/>
      <c r="O224" s="697">
        <v>0</v>
      </c>
      <c r="P224" s="698"/>
      <c r="Q224" s="699">
        <f t="shared" ref="Q224:Q230" si="100">R224+S224</f>
        <v>0</v>
      </c>
      <c r="R224" s="538"/>
      <c r="S224" s="539"/>
      <c r="T224" s="702"/>
      <c r="U224" s="672">
        <v>0</v>
      </c>
      <c r="V224" s="112"/>
      <c r="W224" s="113"/>
      <c r="X224" s="749"/>
      <c r="Y224" s="188"/>
      <c r="Z224" s="115"/>
      <c r="AA224" s="116">
        <f t="shared" ref="AA224:AA230" si="101">Q224+AB224-AJ224</f>
        <v>0</v>
      </c>
      <c r="AB224" s="117">
        <f>SUM(AE224:AI224)</f>
        <v>0</v>
      </c>
      <c r="AC224" s="274"/>
      <c r="AD224" s="719">
        <f t="shared" ref="AD224:AD230" si="102">SUM(AE224:AJ224)-AJ224</f>
        <v>0</v>
      </c>
      <c r="AE224" s="118"/>
      <c r="AF224" s="119"/>
      <c r="AG224" s="119"/>
      <c r="AH224" s="119"/>
      <c r="AI224" s="120"/>
      <c r="AJ224" s="140">
        <f>+S224</f>
        <v>0</v>
      </c>
      <c r="AK224" s="540"/>
      <c r="AL224" s="720"/>
      <c r="AM224" s="308" t="str">
        <f t="shared" si="94"/>
        <v/>
      </c>
      <c r="AN224" s="369" t="str">
        <f t="shared" si="95"/>
        <v/>
      </c>
      <c r="AO224" s="542" t="s">
        <v>4454</v>
      </c>
      <c r="AP224" s="542"/>
      <c r="AR224" s="168">
        <f>U227+AB224-AJ224</f>
        <v>0</v>
      </c>
      <c r="AS224" s="54"/>
      <c r="AT224" s="55">
        <v>80000</v>
      </c>
      <c r="AU224" s="41"/>
      <c r="AV224" s="57" t="e">
        <f>#REF!-#REF!</f>
        <v>#REF!</v>
      </c>
    </row>
    <row r="225" spans="1:48" customFormat="1" ht="25.5" customHeight="1" outlineLevel="2">
      <c r="A225" s="542">
        <v>2171</v>
      </c>
      <c r="B225" s="610" t="s">
        <v>4530</v>
      </c>
      <c r="C225" s="551">
        <v>71</v>
      </c>
      <c r="D225" s="542">
        <v>2171</v>
      </c>
      <c r="E225" s="339" t="s">
        <v>4531</v>
      </c>
      <c r="F225" s="340" t="s">
        <v>4579</v>
      </c>
      <c r="G225" s="341"/>
      <c r="H225" s="552" t="s">
        <v>5598</v>
      </c>
      <c r="I225" s="343">
        <v>21</v>
      </c>
      <c r="J225" s="344" t="s">
        <v>4578</v>
      </c>
      <c r="K225" s="553">
        <v>68</v>
      </c>
      <c r="L225" s="346">
        <v>44440</v>
      </c>
      <c r="M225" s="347" t="s">
        <v>13</v>
      </c>
      <c r="N225" s="438">
        <v>44469</v>
      </c>
      <c r="O225" s="349">
        <v>300000</v>
      </c>
      <c r="P225" s="555">
        <v>250000</v>
      </c>
      <c r="Q225" s="351">
        <f t="shared" si="100"/>
        <v>300000</v>
      </c>
      <c r="R225" s="352"/>
      <c r="S225" s="201">
        <v>300000</v>
      </c>
      <c r="T225" s="556">
        <v>250000</v>
      </c>
      <c r="U225" s="732">
        <v>300000</v>
      </c>
      <c r="V225" s="206"/>
      <c r="W225" s="611"/>
      <c r="X225" s="173" t="s">
        <v>4506</v>
      </c>
      <c r="Y225" s="750"/>
      <c r="Z225" s="557"/>
      <c r="AA225" s="198">
        <f t="shared" si="101"/>
        <v>700000</v>
      </c>
      <c r="AB225" s="48">
        <f>SUM(AE225:AI225)+AJ225</f>
        <v>700000</v>
      </c>
      <c r="AC225" s="265"/>
      <c r="AD225" s="362">
        <f t="shared" si="102"/>
        <v>400000</v>
      </c>
      <c r="AE225" s="202">
        <v>400000</v>
      </c>
      <c r="AF225" s="203"/>
      <c r="AG225" s="203"/>
      <c r="AH225" s="203"/>
      <c r="AI225" s="204"/>
      <c r="AJ225" s="143">
        <f>+S225</f>
        <v>300000</v>
      </c>
      <c r="AK225" s="558"/>
      <c r="AL225" s="559" t="s">
        <v>5439</v>
      </c>
      <c r="AM225" s="308" t="str">
        <f t="shared" si="94"/>
        <v>2171</v>
      </c>
      <c r="AN225" s="369" t="str">
        <f t="shared" si="95"/>
        <v>2171</v>
      </c>
      <c r="AO225" s="542">
        <v>2171</v>
      </c>
      <c r="AP225" s="542"/>
      <c r="AR225" s="168">
        <f>U229+AB225-AJ225</f>
        <v>400000</v>
      </c>
      <c r="AS225" s="54"/>
      <c r="AT225" s="55">
        <v>80000</v>
      </c>
      <c r="AU225" s="41"/>
      <c r="AV225" s="57" t="e">
        <f>#REF!-#REF!</f>
        <v>#REF!</v>
      </c>
    </row>
    <row r="226" spans="1:48" customFormat="1" ht="25.5" customHeight="1" outlineLevel="2">
      <c r="A226" s="542" t="s">
        <v>4454</v>
      </c>
      <c r="B226" s="569" t="s">
        <v>4530</v>
      </c>
      <c r="C226" s="458">
        <v>71</v>
      </c>
      <c r="D226" s="542" t="s">
        <v>4454</v>
      </c>
      <c r="E226" s="492" t="s">
        <v>4531</v>
      </c>
      <c r="F226" s="428" t="s">
        <v>4579</v>
      </c>
      <c r="G226" s="751"/>
      <c r="H226" s="543" t="s">
        <v>5599</v>
      </c>
      <c r="I226" s="411"/>
      <c r="J226" s="459"/>
      <c r="K226" s="437"/>
      <c r="L226" s="413"/>
      <c r="M226" s="414" t="s">
        <v>13</v>
      </c>
      <c r="N226" s="415"/>
      <c r="O226" s="280">
        <v>0</v>
      </c>
      <c r="P226" s="465">
        <v>150000</v>
      </c>
      <c r="Q226" s="263">
        <f>R226+S226</f>
        <v>0</v>
      </c>
      <c r="R226" s="284"/>
      <c r="S226" s="285"/>
      <c r="T226" s="466">
        <v>150000</v>
      </c>
      <c r="U226" s="544"/>
      <c r="V226" s="43"/>
      <c r="W226" s="44"/>
      <c r="X226" s="132"/>
      <c r="Y226" s="189"/>
      <c r="Z226" s="46"/>
      <c r="AA226" s="47">
        <f t="shared" si="101"/>
        <v>0</v>
      </c>
      <c r="AB226" s="48">
        <f>SUM(AE226:AI226)</f>
        <v>0</v>
      </c>
      <c r="AC226" s="265"/>
      <c r="AD226" s="424">
        <f t="shared" si="102"/>
        <v>0</v>
      </c>
      <c r="AE226" s="49"/>
      <c r="AF226" s="50"/>
      <c r="AG226" s="50"/>
      <c r="AH226" s="50"/>
      <c r="AI226" s="51"/>
      <c r="AJ226" s="52">
        <f>+S226</f>
        <v>0</v>
      </c>
      <c r="AK226" s="462"/>
      <c r="AL226" s="396"/>
      <c r="AM226" s="308" t="str">
        <f t="shared" si="94"/>
        <v/>
      </c>
      <c r="AN226" s="369" t="str">
        <f t="shared" si="95"/>
        <v/>
      </c>
      <c r="AO226" s="542" t="s">
        <v>4454</v>
      </c>
      <c r="AP226" s="542"/>
      <c r="AR226" s="168">
        <f>U230+AB226-AJ226</f>
        <v>50000</v>
      </c>
      <c r="AS226" s="54"/>
      <c r="AT226" s="55">
        <v>20000</v>
      </c>
      <c r="AU226" s="41"/>
      <c r="AV226" s="57" t="e">
        <f>#REF!-#REF!</f>
        <v>#REF!</v>
      </c>
    </row>
    <row r="227" spans="1:48" customFormat="1" ht="25.5" customHeight="1" outlineLevel="2">
      <c r="A227" s="542">
        <v>2172</v>
      </c>
      <c r="B227" s="569" t="s">
        <v>4530</v>
      </c>
      <c r="C227" s="458">
        <v>71</v>
      </c>
      <c r="D227" s="542">
        <v>2172</v>
      </c>
      <c r="E227" s="492" t="s">
        <v>4531</v>
      </c>
      <c r="F227" s="428" t="s">
        <v>4579</v>
      </c>
      <c r="G227" s="409"/>
      <c r="H227" s="547" t="s">
        <v>5600</v>
      </c>
      <c r="I227" s="411">
        <v>21</v>
      </c>
      <c r="J227" s="459" t="s">
        <v>4580</v>
      </c>
      <c r="K227" s="553">
        <v>69</v>
      </c>
      <c r="L227" s="413">
        <v>44317</v>
      </c>
      <c r="M227" s="414" t="s">
        <v>13</v>
      </c>
      <c r="N227" s="415">
        <v>44377</v>
      </c>
      <c r="O227" s="280">
        <v>150000</v>
      </c>
      <c r="P227" s="465">
        <v>150000</v>
      </c>
      <c r="Q227" s="263">
        <f t="shared" si="100"/>
        <v>150000</v>
      </c>
      <c r="R227" s="284"/>
      <c r="S227" s="59">
        <v>150000</v>
      </c>
      <c r="T227" s="466">
        <v>150000</v>
      </c>
      <c r="U227" s="544">
        <v>0</v>
      </c>
      <c r="V227" s="43"/>
      <c r="W227" s="44"/>
      <c r="X227" s="58" t="s">
        <v>4506</v>
      </c>
      <c r="Y227" s="128"/>
      <c r="Z227" s="46"/>
      <c r="AA227" s="47">
        <f t="shared" si="101"/>
        <v>870000</v>
      </c>
      <c r="AB227" s="48">
        <f>SUM(AE227:AI227)+AJ227</f>
        <v>870000</v>
      </c>
      <c r="AC227" s="265"/>
      <c r="AD227" s="424">
        <f t="shared" si="102"/>
        <v>720000</v>
      </c>
      <c r="AE227" s="49">
        <v>720000</v>
      </c>
      <c r="AF227" s="50"/>
      <c r="AG227" s="50"/>
      <c r="AH227" s="50"/>
      <c r="AI227" s="51"/>
      <c r="AJ227" s="52">
        <f>+S227</f>
        <v>150000</v>
      </c>
      <c r="AK227" s="462">
        <v>240000</v>
      </c>
      <c r="AL227" s="396" t="s">
        <v>5439</v>
      </c>
      <c r="AM227" s="308" t="str">
        <f t="shared" si="94"/>
        <v>2172</v>
      </c>
      <c r="AN227" s="369" t="str">
        <f t="shared" si="95"/>
        <v>2172</v>
      </c>
      <c r="AO227" s="542">
        <v>2172</v>
      </c>
      <c r="AP227" s="542"/>
      <c r="AR227" s="168">
        <f>U231+AB227-AJ227</f>
        <v>1220000</v>
      </c>
      <c r="AS227" s="54"/>
      <c r="AT227" s="55">
        <v>80000</v>
      </c>
      <c r="AU227" s="41"/>
      <c r="AV227" s="57" t="e">
        <f>#REF!-#REF!</f>
        <v>#REF!</v>
      </c>
    </row>
    <row r="228" spans="1:48" customFormat="1" ht="25.5" customHeight="1" outlineLevel="2">
      <c r="A228" s="542">
        <v>2271</v>
      </c>
      <c r="B228" s="679" t="s">
        <v>4530</v>
      </c>
      <c r="C228" s="632">
        <v>71</v>
      </c>
      <c r="D228" s="542">
        <v>2271</v>
      </c>
      <c r="E228" s="633" t="s">
        <v>4543</v>
      </c>
      <c r="F228" s="428" t="s">
        <v>4579</v>
      </c>
      <c r="G228" s="635">
        <v>27</v>
      </c>
      <c r="H228" s="636" t="s">
        <v>5601</v>
      </c>
      <c r="I228" s="637">
        <v>22</v>
      </c>
      <c r="J228" s="638" t="s">
        <v>4578</v>
      </c>
      <c r="K228" s="639"/>
      <c r="L228" s="752">
        <v>44218</v>
      </c>
      <c r="M228" s="641" t="s">
        <v>13</v>
      </c>
      <c r="N228" s="753">
        <v>44226</v>
      </c>
      <c r="O228" s="643">
        <v>0</v>
      </c>
      <c r="P228" s="644">
        <v>100000</v>
      </c>
      <c r="Q228" s="645">
        <f>R228+S228</f>
        <v>750000</v>
      </c>
      <c r="R228" s="646">
        <v>100000</v>
      </c>
      <c r="S228" s="441">
        <v>650000</v>
      </c>
      <c r="T228" s="647">
        <v>100000</v>
      </c>
      <c r="U228" s="681"/>
      <c r="V228" s="649"/>
      <c r="W228" s="650"/>
      <c r="X228" s="754"/>
      <c r="Y228" s="746"/>
      <c r="Z228" s="652"/>
      <c r="AA228" s="682">
        <f t="shared" si="101"/>
        <v>1470000</v>
      </c>
      <c r="AB228" s="755">
        <f>SUM(AE228:AI228)+AJ228</f>
        <v>1370000</v>
      </c>
      <c r="AC228" s="747"/>
      <c r="AD228" s="656">
        <f t="shared" si="102"/>
        <v>720000</v>
      </c>
      <c r="AE228" s="657">
        <v>720000</v>
      </c>
      <c r="AF228" s="658"/>
      <c r="AG228" s="658"/>
      <c r="AH228" s="658"/>
      <c r="AI228" s="659"/>
      <c r="AJ228" s="660">
        <f>+S228</f>
        <v>650000</v>
      </c>
      <c r="AK228" s="661"/>
      <c r="AL228" s="662" t="s">
        <v>5591</v>
      </c>
      <c r="AM228" s="308" t="str">
        <f t="shared" si="94"/>
        <v>2271</v>
      </c>
      <c r="AN228" s="369" t="str">
        <f t="shared" si="95"/>
        <v>2271</v>
      </c>
      <c r="AO228" s="542">
        <v>2271</v>
      </c>
      <c r="AP228" s="542"/>
      <c r="AR228" s="168"/>
      <c r="AS228" s="54"/>
      <c r="AT228" s="55">
        <v>24000</v>
      </c>
      <c r="AU228" s="41"/>
      <c r="AV228" s="57" t="e">
        <f>#REF!-#REF!</f>
        <v>#REF!</v>
      </c>
    </row>
    <row r="229" spans="1:48" s="470" customFormat="1" ht="25.5" customHeight="1" outlineLevel="2">
      <c r="A229" s="463" t="s">
        <v>4454</v>
      </c>
      <c r="B229" s="485"/>
      <c r="C229" s="472" t="s">
        <v>4538</v>
      </c>
      <c r="D229" s="463" t="s">
        <v>4454</v>
      </c>
      <c r="E229" s="473"/>
      <c r="F229" s="428" t="s">
        <v>4579</v>
      </c>
      <c r="G229" s="475"/>
      <c r="H229" s="486"/>
      <c r="I229" s="476"/>
      <c r="J229" s="477"/>
      <c r="K229" s="437"/>
      <c r="L229" s="487"/>
      <c r="M229" s="464" t="s">
        <v>13</v>
      </c>
      <c r="N229" s="488"/>
      <c r="O229" s="280">
        <v>0</v>
      </c>
      <c r="P229" s="465"/>
      <c r="Q229" s="263">
        <f t="shared" si="100"/>
        <v>0</v>
      </c>
      <c r="R229" s="278"/>
      <c r="S229" s="279"/>
      <c r="T229" s="466"/>
      <c r="U229" s="544">
        <v>0</v>
      </c>
      <c r="V229" s="61"/>
      <c r="W229" s="68"/>
      <c r="X229" s="79"/>
      <c r="Y229" s="70"/>
      <c r="Z229" s="70"/>
      <c r="AA229" s="63">
        <f t="shared" si="101"/>
        <v>0</v>
      </c>
      <c r="AB229" s="72"/>
      <c r="AC229" s="267"/>
      <c r="AD229" s="545">
        <f t="shared" si="102"/>
        <v>0</v>
      </c>
      <c r="AE229" s="62"/>
      <c r="AF229" s="73"/>
      <c r="AG229" s="73"/>
      <c r="AH229" s="73"/>
      <c r="AI229" s="74"/>
      <c r="AJ229" s="75"/>
      <c r="AK229" s="467"/>
      <c r="AL229" s="546"/>
      <c r="AM229" s="468" t="str">
        <f t="shared" si="94"/>
        <v/>
      </c>
      <c r="AN229" s="469" t="str">
        <f t="shared" si="95"/>
        <v/>
      </c>
      <c r="AO229" s="463" t="s">
        <v>4454</v>
      </c>
      <c r="AP229" s="463"/>
      <c r="AR229" s="63"/>
      <c r="AS229" s="64"/>
      <c r="AT229" s="65"/>
      <c r="AU229" s="66"/>
      <c r="AV229" s="67" t="e">
        <f>#REF!-#REF!</f>
        <v>#REF!</v>
      </c>
    </row>
    <row r="230" spans="1:48" ht="25.5" customHeight="1" outlineLevel="2" thickBot="1">
      <c r="A230" s="291">
        <v>1571</v>
      </c>
      <c r="B230" s="490" t="s">
        <v>4500</v>
      </c>
      <c r="C230" s="458">
        <v>42</v>
      </c>
      <c r="D230" s="291">
        <v>1571</v>
      </c>
      <c r="E230" s="407" t="s">
        <v>4553</v>
      </c>
      <c r="F230" s="428" t="s">
        <v>4579</v>
      </c>
      <c r="G230" s="409"/>
      <c r="H230" s="429" t="s">
        <v>4581</v>
      </c>
      <c r="I230" s="411">
        <v>15</v>
      </c>
      <c r="J230" s="459" t="s">
        <v>4578</v>
      </c>
      <c r="K230" s="437"/>
      <c r="L230" s="413"/>
      <c r="M230" s="464" t="s">
        <v>13</v>
      </c>
      <c r="N230" s="415"/>
      <c r="O230" s="280">
        <v>50000</v>
      </c>
      <c r="P230" s="465">
        <v>50000</v>
      </c>
      <c r="Q230" s="263">
        <f t="shared" si="100"/>
        <v>50000</v>
      </c>
      <c r="R230" s="284">
        <v>50000</v>
      </c>
      <c r="S230" s="285"/>
      <c r="T230" s="466">
        <v>50000</v>
      </c>
      <c r="U230" s="561">
        <v>50000</v>
      </c>
      <c r="V230" s="43"/>
      <c r="W230" s="44"/>
      <c r="X230" s="45">
        <v>43200</v>
      </c>
      <c r="Y230" s="46"/>
      <c r="Z230" s="46"/>
      <c r="AA230" s="47">
        <f t="shared" si="101"/>
        <v>50000</v>
      </c>
      <c r="AB230" s="48">
        <f>SUM(AE230:AI230)</f>
        <v>0</v>
      </c>
      <c r="AC230" s="265"/>
      <c r="AD230" s="424">
        <f t="shared" si="102"/>
        <v>0</v>
      </c>
      <c r="AE230" s="49"/>
      <c r="AF230" s="50"/>
      <c r="AG230" s="50"/>
      <c r="AH230" s="50"/>
      <c r="AI230" s="51"/>
      <c r="AJ230" s="52"/>
      <c r="AK230" s="462"/>
      <c r="AL230" s="442"/>
      <c r="AM230" s="308" t="str">
        <f t="shared" si="94"/>
        <v>1571</v>
      </c>
      <c r="AN230" s="369" t="str">
        <f t="shared" si="95"/>
        <v>1571</v>
      </c>
      <c r="AO230" s="291">
        <v>1571</v>
      </c>
      <c r="AR230" s="47">
        <f>U234+AB230</f>
        <v>0</v>
      </c>
      <c r="AS230" s="54"/>
      <c r="AT230" s="55"/>
      <c r="AU230" s="56"/>
      <c r="AV230" s="57" t="e">
        <f>#REF!-#REF!</f>
        <v>#REF!</v>
      </c>
    </row>
    <row r="231" spans="1:48" ht="25.5" customHeight="1" outlineLevel="1" thickBot="1">
      <c r="A231" s="291" t="s">
        <v>4454</v>
      </c>
      <c r="B231" s="507"/>
      <c r="C231" s="508">
        <v>42</v>
      </c>
      <c r="D231" s="291" t="s">
        <v>4454</v>
      </c>
      <c r="E231" s="509"/>
      <c r="F231" s="510" t="s">
        <v>4574</v>
      </c>
      <c r="G231" s="511"/>
      <c r="H231" s="512"/>
      <c r="I231" s="513"/>
      <c r="J231" s="514"/>
      <c r="K231" s="515"/>
      <c r="L231" s="516"/>
      <c r="M231" s="517"/>
      <c r="N231" s="518"/>
      <c r="O231" s="519">
        <v>500000</v>
      </c>
      <c r="P231" s="520">
        <f>SUM(P224:P230)</f>
        <v>700000</v>
      </c>
      <c r="Q231" s="521">
        <f>SUBTOTAL(9,Q224:Q230)</f>
        <v>1250000</v>
      </c>
      <c r="R231" s="522">
        <f>SUBTOTAL(9,R224:R230)</f>
        <v>150000</v>
      </c>
      <c r="S231" s="523">
        <f>SUBTOTAL(9,S224:S230)</f>
        <v>1100000</v>
      </c>
      <c r="T231" s="524">
        <v>700000</v>
      </c>
      <c r="U231" s="548">
        <v>500000</v>
      </c>
      <c r="V231" s="94"/>
      <c r="W231" s="95"/>
      <c r="X231" s="96"/>
      <c r="Y231" s="97"/>
      <c r="Z231" s="97"/>
      <c r="AA231" s="137">
        <f>SUBTOTAL(9,AA224:AA230)</f>
        <v>3090000</v>
      </c>
      <c r="AB231" s="99">
        <f>SUBTOTAL(9,AB224:AB230)</f>
        <v>2940000</v>
      </c>
      <c r="AC231" s="273"/>
      <c r="AD231" s="526">
        <f>SUM(AE231:AJ231)</f>
        <v>2940000</v>
      </c>
      <c r="AE231" s="100">
        <f t="shared" ref="AE231:AK231" si="103">SUBTOTAL(9,AE224:AE230)</f>
        <v>1840000</v>
      </c>
      <c r="AF231" s="101">
        <f t="shared" si="103"/>
        <v>0</v>
      </c>
      <c r="AG231" s="101">
        <f t="shared" si="103"/>
        <v>0</v>
      </c>
      <c r="AH231" s="101">
        <f t="shared" si="103"/>
        <v>0</v>
      </c>
      <c r="AI231" s="102">
        <f t="shared" si="103"/>
        <v>0</v>
      </c>
      <c r="AJ231" s="103">
        <f t="shared" si="103"/>
        <v>1100000</v>
      </c>
      <c r="AK231" s="527">
        <f t="shared" si="103"/>
        <v>240000</v>
      </c>
      <c r="AL231" s="663"/>
      <c r="AM231" s="308" t="str">
        <f t="shared" si="94"/>
        <v/>
      </c>
      <c r="AN231" s="369" t="str">
        <f t="shared" si="95"/>
        <v/>
      </c>
      <c r="AO231" s="291" t="s">
        <v>4454</v>
      </c>
      <c r="AR231" s="137">
        <f>SUBTOTAL(9,AR224:AR230)</f>
        <v>1670000</v>
      </c>
      <c r="AS231" s="107"/>
      <c r="AT231" s="108">
        <f>SUBTOTAL(9,AT224:AT230)</f>
        <v>284000</v>
      </c>
      <c r="AU231" s="109"/>
      <c r="AV231" s="110" t="e">
        <f>SUM(AV224:AV230)</f>
        <v>#REF!</v>
      </c>
    </row>
    <row r="232" spans="1:48" customFormat="1" ht="25.5" customHeight="1" outlineLevel="2">
      <c r="A232" s="542">
        <v>2173</v>
      </c>
      <c r="B232" s="564" t="s">
        <v>4530</v>
      </c>
      <c r="C232" s="530">
        <v>71</v>
      </c>
      <c r="D232" s="542">
        <v>2173</v>
      </c>
      <c r="E232" s="531" t="s">
        <v>4460</v>
      </c>
      <c r="F232" s="532" t="s">
        <v>5602</v>
      </c>
      <c r="G232" s="533"/>
      <c r="H232" s="565" t="s">
        <v>5603</v>
      </c>
      <c r="I232" s="535">
        <v>21</v>
      </c>
      <c r="J232" s="536" t="s">
        <v>4582</v>
      </c>
      <c r="K232" s="553">
        <v>70</v>
      </c>
      <c r="L232" s="413">
        <v>44440</v>
      </c>
      <c r="M232" s="464" t="s">
        <v>13</v>
      </c>
      <c r="N232" s="415">
        <v>44530</v>
      </c>
      <c r="O232" s="280">
        <v>450000</v>
      </c>
      <c r="P232" s="465">
        <v>450000</v>
      </c>
      <c r="Q232" s="263">
        <f t="shared" ref="Q232:Q257" si="104">R232+S232</f>
        <v>450000</v>
      </c>
      <c r="R232" s="538"/>
      <c r="S232" s="138">
        <v>450000</v>
      </c>
      <c r="T232" s="466">
        <v>450000</v>
      </c>
      <c r="U232" s="544">
        <v>450000</v>
      </c>
      <c r="V232" s="112"/>
      <c r="W232" s="113"/>
      <c r="X232" s="139" t="s">
        <v>4506</v>
      </c>
      <c r="Y232" s="188"/>
      <c r="Z232" s="115"/>
      <c r="AA232" s="116">
        <f t="shared" ref="AA232:AA257" si="105">Q232+AB232-AJ232</f>
        <v>450000</v>
      </c>
      <c r="AB232" s="117">
        <f>SUM(AE232:AI232)+AJ232</f>
        <v>450000</v>
      </c>
      <c r="AC232" s="274"/>
      <c r="AD232" s="424">
        <f t="shared" ref="AD232:AD257" si="106">SUM(AE232:AJ232)-AJ232</f>
        <v>0</v>
      </c>
      <c r="AE232" s="118"/>
      <c r="AF232" s="119"/>
      <c r="AG232" s="119"/>
      <c r="AH232" s="119"/>
      <c r="AI232" s="120"/>
      <c r="AJ232" s="140">
        <f t="shared" ref="AJ232:AJ257" si="107">+S232</f>
        <v>450000</v>
      </c>
      <c r="AK232" s="540"/>
      <c r="AL232" s="396" t="s">
        <v>5439</v>
      </c>
      <c r="AM232" s="308" t="str">
        <f t="shared" si="94"/>
        <v>2173</v>
      </c>
      <c r="AN232" s="369" t="str">
        <f t="shared" si="95"/>
        <v>2173</v>
      </c>
      <c r="AO232" s="542">
        <v>2173</v>
      </c>
      <c r="AP232" s="542"/>
      <c r="AR232" s="168">
        <f>U236+AB232-AJ232</f>
        <v>350000</v>
      </c>
      <c r="AS232" s="54"/>
      <c r="AT232" s="55">
        <v>240000</v>
      </c>
      <c r="AU232" s="41"/>
      <c r="AV232" s="57" t="e">
        <f>#REF!-#REF!</f>
        <v>#REF!</v>
      </c>
    </row>
    <row r="233" spans="1:48" customFormat="1" ht="25.5" customHeight="1" outlineLevel="2">
      <c r="A233" s="542">
        <v>2174</v>
      </c>
      <c r="B233" s="569" t="s">
        <v>4530</v>
      </c>
      <c r="C233" s="458">
        <v>71</v>
      </c>
      <c r="D233" s="542">
        <v>2174</v>
      </c>
      <c r="E233" s="407" t="s">
        <v>4531</v>
      </c>
      <c r="F233" s="428" t="s">
        <v>5602</v>
      </c>
      <c r="G233" s="409"/>
      <c r="H233" s="410" t="s">
        <v>5604</v>
      </c>
      <c r="I233" s="411">
        <v>21</v>
      </c>
      <c r="J233" s="459" t="s">
        <v>4585</v>
      </c>
      <c r="K233" s="460">
        <v>71</v>
      </c>
      <c r="L233" s="413">
        <v>44317</v>
      </c>
      <c r="M233" s="464" t="s">
        <v>13</v>
      </c>
      <c r="N233" s="415">
        <v>44347</v>
      </c>
      <c r="O233" s="280">
        <v>0</v>
      </c>
      <c r="P233" s="465">
        <v>100000</v>
      </c>
      <c r="Q233" s="263">
        <f t="shared" si="104"/>
        <v>50000</v>
      </c>
      <c r="R233" s="284"/>
      <c r="S233" s="59">
        <v>50000</v>
      </c>
      <c r="T233" s="466">
        <v>100000</v>
      </c>
      <c r="U233" s="544">
        <v>0</v>
      </c>
      <c r="V233" s="43"/>
      <c r="W233" s="44"/>
      <c r="X233" s="58" t="s">
        <v>4506</v>
      </c>
      <c r="Y233" s="128"/>
      <c r="Z233" s="46"/>
      <c r="AA233" s="47">
        <f t="shared" si="105"/>
        <v>50000</v>
      </c>
      <c r="AB233" s="48">
        <f>SUM(AE233:AI233)+AJ233</f>
        <v>50000</v>
      </c>
      <c r="AC233" s="265"/>
      <c r="AD233" s="424">
        <f t="shared" si="106"/>
        <v>0</v>
      </c>
      <c r="AE233" s="49"/>
      <c r="AF233" s="50"/>
      <c r="AG233" s="50"/>
      <c r="AH233" s="50"/>
      <c r="AI233" s="51"/>
      <c r="AJ233" s="52">
        <f t="shared" si="107"/>
        <v>50000</v>
      </c>
      <c r="AK233" s="462"/>
      <c r="AL233" s="396" t="s">
        <v>5439</v>
      </c>
      <c r="AM233" s="308" t="str">
        <f t="shared" si="94"/>
        <v>2174</v>
      </c>
      <c r="AN233" s="369" t="str">
        <f t="shared" si="95"/>
        <v>2174</v>
      </c>
      <c r="AO233" s="542">
        <v>2174</v>
      </c>
      <c r="AP233" s="542"/>
      <c r="AR233" s="168">
        <f>U237+AB233-AJ233</f>
        <v>0</v>
      </c>
      <c r="AS233" s="54"/>
      <c r="AT233" s="55">
        <v>80000</v>
      </c>
      <c r="AU233" s="41"/>
      <c r="AV233" s="57" t="e">
        <f>#REF!-#REF!</f>
        <v>#REF!</v>
      </c>
    </row>
    <row r="234" spans="1:48" customFormat="1" ht="25.5" customHeight="1" outlineLevel="2">
      <c r="A234" s="542">
        <v>2175</v>
      </c>
      <c r="B234" s="569" t="s">
        <v>4530</v>
      </c>
      <c r="C234" s="458">
        <v>71</v>
      </c>
      <c r="D234" s="542">
        <v>2175</v>
      </c>
      <c r="E234" s="492" t="s">
        <v>4531</v>
      </c>
      <c r="F234" s="428" t="s">
        <v>5602</v>
      </c>
      <c r="G234" s="751"/>
      <c r="H234" s="483" t="s">
        <v>5605</v>
      </c>
      <c r="I234" s="411">
        <v>21</v>
      </c>
      <c r="J234" s="459" t="s">
        <v>4587</v>
      </c>
      <c r="K234" s="460">
        <v>72</v>
      </c>
      <c r="L234" s="413">
        <v>44378</v>
      </c>
      <c r="M234" s="464" t="s">
        <v>13</v>
      </c>
      <c r="N234" s="415">
        <v>44418</v>
      </c>
      <c r="O234" s="280">
        <v>0</v>
      </c>
      <c r="P234" s="465">
        <v>150000</v>
      </c>
      <c r="Q234" s="263">
        <f t="shared" si="104"/>
        <v>50000</v>
      </c>
      <c r="R234" s="284"/>
      <c r="S234" s="59">
        <v>50000</v>
      </c>
      <c r="T234" s="466">
        <v>150000</v>
      </c>
      <c r="U234" s="544">
        <v>0</v>
      </c>
      <c r="V234" s="43"/>
      <c r="W234" s="44"/>
      <c r="X234" s="58" t="s">
        <v>4506</v>
      </c>
      <c r="Y234" s="189"/>
      <c r="Z234" s="46"/>
      <c r="AA234" s="47">
        <f t="shared" si="105"/>
        <v>50000</v>
      </c>
      <c r="AB234" s="48">
        <f>SUM(AE234:AI234)+AJ234</f>
        <v>50000</v>
      </c>
      <c r="AC234" s="265"/>
      <c r="AD234" s="424">
        <f t="shared" si="106"/>
        <v>0</v>
      </c>
      <c r="AE234" s="49"/>
      <c r="AF234" s="50"/>
      <c r="AG234" s="50"/>
      <c r="AH234" s="50"/>
      <c r="AI234" s="51"/>
      <c r="AJ234" s="52">
        <f t="shared" si="107"/>
        <v>50000</v>
      </c>
      <c r="AK234" s="462"/>
      <c r="AL234" s="396" t="s">
        <v>5439</v>
      </c>
      <c r="AM234" s="308" t="str">
        <f t="shared" si="94"/>
        <v>2175</v>
      </c>
      <c r="AN234" s="369" t="str">
        <f t="shared" si="95"/>
        <v>2175</v>
      </c>
      <c r="AO234" s="542">
        <v>2175</v>
      </c>
      <c r="AP234" s="542"/>
      <c r="AR234" s="168">
        <f>U238+AB234-AJ234</f>
        <v>0</v>
      </c>
      <c r="AS234" s="54"/>
      <c r="AT234" s="55">
        <v>20000</v>
      </c>
      <c r="AU234" s="41"/>
      <c r="AV234" s="57" t="e">
        <f>#REF!-#REF!</f>
        <v>#REF!</v>
      </c>
    </row>
    <row r="235" spans="1:48" s="470" customFormat="1" ht="25.5" customHeight="1" outlineLevel="2">
      <c r="A235" s="463" t="s">
        <v>4454</v>
      </c>
      <c r="B235" s="485" t="s">
        <v>4530</v>
      </c>
      <c r="C235" s="472">
        <v>71</v>
      </c>
      <c r="D235" s="463" t="s">
        <v>4454</v>
      </c>
      <c r="E235" s="473" t="s">
        <v>4541</v>
      </c>
      <c r="F235" s="474" t="s">
        <v>5602</v>
      </c>
      <c r="G235" s="756"/>
      <c r="H235" s="726" t="s">
        <v>5606</v>
      </c>
      <c r="I235" s="476"/>
      <c r="J235" s="477"/>
      <c r="K235" s="537"/>
      <c r="L235" s="487"/>
      <c r="M235" s="464" t="s">
        <v>13</v>
      </c>
      <c r="N235" s="628"/>
      <c r="O235" s="280">
        <v>0</v>
      </c>
      <c r="P235" s="465"/>
      <c r="Q235" s="479">
        <f t="shared" si="104"/>
        <v>0</v>
      </c>
      <c r="R235" s="278"/>
      <c r="S235" s="279"/>
      <c r="T235" s="466"/>
      <c r="U235" s="544">
        <v>0</v>
      </c>
      <c r="V235" s="61"/>
      <c r="W235" s="68"/>
      <c r="X235" s="171"/>
      <c r="Y235" s="190"/>
      <c r="Z235" s="70"/>
      <c r="AA235" s="71">
        <f t="shared" si="105"/>
        <v>0</v>
      </c>
      <c r="AB235" s="72">
        <f>SUM(AE235:AI235)+AJ235</f>
        <v>0</v>
      </c>
      <c r="AC235" s="267"/>
      <c r="AD235" s="545">
        <f t="shared" si="106"/>
        <v>0</v>
      </c>
      <c r="AE235" s="62"/>
      <c r="AF235" s="73"/>
      <c r="AG235" s="73"/>
      <c r="AH235" s="73"/>
      <c r="AI235" s="74"/>
      <c r="AJ235" s="75">
        <f t="shared" si="107"/>
        <v>0</v>
      </c>
      <c r="AK235" s="467"/>
      <c r="AL235" s="546" t="s">
        <v>4536</v>
      </c>
      <c r="AM235" s="468" t="str">
        <f t="shared" si="94"/>
        <v/>
      </c>
      <c r="AN235" s="469" t="str">
        <f t="shared" si="95"/>
        <v/>
      </c>
      <c r="AO235" s="463" t="s">
        <v>4454</v>
      </c>
      <c r="AP235" s="463"/>
      <c r="AR235" s="71">
        <f>U239+AB235-AJ235</f>
        <v>0</v>
      </c>
      <c r="AS235" s="64"/>
      <c r="AT235" s="65"/>
      <c r="AU235" s="66"/>
      <c r="AV235" s="67" t="e">
        <f>#REF!-#REF!</f>
        <v>#REF!</v>
      </c>
    </row>
    <row r="236" spans="1:48" customFormat="1" ht="25.5" customHeight="1" outlineLevel="2">
      <c r="A236" s="542" t="s">
        <v>4454</v>
      </c>
      <c r="B236" s="757" t="s">
        <v>4530</v>
      </c>
      <c r="C236" s="758">
        <v>71</v>
      </c>
      <c r="D236" s="542" t="s">
        <v>4454</v>
      </c>
      <c r="E236" s="759" t="s">
        <v>4543</v>
      </c>
      <c r="F236" s="760" t="s">
        <v>5602</v>
      </c>
      <c r="G236" s="761"/>
      <c r="H236" s="762" t="s">
        <v>5607</v>
      </c>
      <c r="I236" s="763"/>
      <c r="J236" s="764"/>
      <c r="K236" s="765"/>
      <c r="L236" s="766"/>
      <c r="M236" s="767" t="s">
        <v>13</v>
      </c>
      <c r="N236" s="768"/>
      <c r="O236" s="769">
        <v>0</v>
      </c>
      <c r="P236" s="770"/>
      <c r="Q236" s="771">
        <f>R236+S236</f>
        <v>0</v>
      </c>
      <c r="R236" s="772"/>
      <c r="S236" s="773"/>
      <c r="T236" s="466"/>
      <c r="U236" s="544">
        <v>350000</v>
      </c>
      <c r="V236" s="774"/>
      <c r="W236" s="775"/>
      <c r="X236" s="776"/>
      <c r="Y236" s="777"/>
      <c r="Z236" s="778"/>
      <c r="AA236" s="779">
        <f t="shared" si="105"/>
        <v>0</v>
      </c>
      <c r="AB236" s="780">
        <f>SUM(AE236:AI236)+AJ236</f>
        <v>0</v>
      </c>
      <c r="AC236" s="781"/>
      <c r="AD236" s="782">
        <f t="shared" si="106"/>
        <v>0</v>
      </c>
      <c r="AE236" s="783"/>
      <c r="AF236" s="784"/>
      <c r="AG236" s="784"/>
      <c r="AH236" s="784"/>
      <c r="AI236" s="785"/>
      <c r="AJ236" s="786">
        <f t="shared" si="107"/>
        <v>0</v>
      </c>
      <c r="AK236" s="787"/>
      <c r="AL236" s="788" t="s">
        <v>4537</v>
      </c>
      <c r="AM236" s="308" t="str">
        <f t="shared" si="94"/>
        <v/>
      </c>
      <c r="AN236" s="369" t="str">
        <f t="shared" si="95"/>
        <v/>
      </c>
      <c r="AO236" s="542" t="s">
        <v>4454</v>
      </c>
      <c r="AP236" s="542"/>
      <c r="AR236" s="168"/>
      <c r="AS236" s="54"/>
      <c r="AT236" s="55">
        <v>24000</v>
      </c>
      <c r="AU236" s="41"/>
      <c r="AV236" s="57" t="e">
        <f>#REF!-#REF!</f>
        <v>#REF!</v>
      </c>
    </row>
    <row r="237" spans="1:48" s="470" customFormat="1" ht="25.5" customHeight="1" outlineLevel="2">
      <c r="A237" s="463" t="s">
        <v>4454</v>
      </c>
      <c r="B237" s="485" t="s">
        <v>4530</v>
      </c>
      <c r="C237" s="472">
        <v>71</v>
      </c>
      <c r="D237" s="463" t="s">
        <v>4454</v>
      </c>
      <c r="E237" s="723" t="s">
        <v>4541</v>
      </c>
      <c r="F237" s="474" t="s">
        <v>5602</v>
      </c>
      <c r="G237" s="475"/>
      <c r="H237" s="570" t="s">
        <v>5608</v>
      </c>
      <c r="I237" s="476"/>
      <c r="J237" s="477"/>
      <c r="K237" s="437"/>
      <c r="L237" s="487"/>
      <c r="M237" s="464" t="s">
        <v>13</v>
      </c>
      <c r="N237" s="488"/>
      <c r="O237" s="280">
        <v>0</v>
      </c>
      <c r="P237" s="465"/>
      <c r="Q237" s="479">
        <f t="shared" si="104"/>
        <v>0</v>
      </c>
      <c r="R237" s="278"/>
      <c r="S237" s="279"/>
      <c r="T237" s="466"/>
      <c r="U237" s="544">
        <v>0</v>
      </c>
      <c r="V237" s="61"/>
      <c r="W237" s="68"/>
      <c r="X237" s="171"/>
      <c r="Y237" s="141"/>
      <c r="Z237" s="70"/>
      <c r="AA237" s="71">
        <f t="shared" si="105"/>
        <v>0</v>
      </c>
      <c r="AB237" s="166">
        <f t="shared" ref="AB237:AB240" si="108">SUM(AE237:AI237)+AJ237</f>
        <v>0</v>
      </c>
      <c r="AC237" s="281"/>
      <c r="AD237" s="545">
        <f t="shared" si="106"/>
        <v>0</v>
      </c>
      <c r="AE237" s="62"/>
      <c r="AF237" s="73"/>
      <c r="AG237" s="73"/>
      <c r="AH237" s="73"/>
      <c r="AI237" s="74"/>
      <c r="AJ237" s="75">
        <f t="shared" si="107"/>
        <v>0</v>
      </c>
      <c r="AK237" s="467"/>
      <c r="AL237" s="546" t="s">
        <v>4536</v>
      </c>
      <c r="AM237" s="468" t="str">
        <f t="shared" si="94"/>
        <v/>
      </c>
      <c r="AN237" s="469" t="str">
        <f t="shared" si="95"/>
        <v/>
      </c>
      <c r="AO237" s="463" t="s">
        <v>4454</v>
      </c>
      <c r="AP237" s="463"/>
      <c r="AR237" s="71"/>
      <c r="AS237" s="64"/>
      <c r="AT237" s="65"/>
      <c r="AU237" s="66"/>
      <c r="AV237" s="67" t="e">
        <f>#REF!-#REF!</f>
        <v>#REF!</v>
      </c>
    </row>
    <row r="238" spans="1:48" s="470" customFormat="1" ht="25.5" customHeight="1" outlineLevel="2">
      <c r="A238" s="463" t="s">
        <v>4454</v>
      </c>
      <c r="B238" s="485" t="s">
        <v>4530</v>
      </c>
      <c r="C238" s="472">
        <v>71</v>
      </c>
      <c r="D238" s="463" t="s">
        <v>4454</v>
      </c>
      <c r="E238" s="723" t="s">
        <v>4541</v>
      </c>
      <c r="F238" s="474" t="s">
        <v>5602</v>
      </c>
      <c r="G238" s="475"/>
      <c r="H238" s="570" t="s">
        <v>5609</v>
      </c>
      <c r="I238" s="476"/>
      <c r="J238" s="477"/>
      <c r="K238" s="437"/>
      <c r="L238" s="487"/>
      <c r="M238" s="464" t="s">
        <v>13</v>
      </c>
      <c r="N238" s="488"/>
      <c r="O238" s="280">
        <v>0</v>
      </c>
      <c r="P238" s="465"/>
      <c r="Q238" s="479">
        <f t="shared" si="104"/>
        <v>0</v>
      </c>
      <c r="R238" s="278"/>
      <c r="S238" s="279"/>
      <c r="T238" s="466"/>
      <c r="U238" s="544">
        <v>0</v>
      </c>
      <c r="V238" s="61"/>
      <c r="W238" s="68"/>
      <c r="X238" s="171"/>
      <c r="Y238" s="141"/>
      <c r="Z238" s="70"/>
      <c r="AA238" s="71">
        <f t="shared" si="105"/>
        <v>0</v>
      </c>
      <c r="AB238" s="166">
        <f t="shared" si="108"/>
        <v>0</v>
      </c>
      <c r="AC238" s="281"/>
      <c r="AD238" s="545">
        <f t="shared" si="106"/>
        <v>0</v>
      </c>
      <c r="AE238" s="62"/>
      <c r="AF238" s="73"/>
      <c r="AG238" s="73"/>
      <c r="AH238" s="73"/>
      <c r="AI238" s="74"/>
      <c r="AJ238" s="75">
        <f t="shared" si="107"/>
        <v>0</v>
      </c>
      <c r="AK238" s="467"/>
      <c r="AL238" s="546" t="s">
        <v>4536</v>
      </c>
      <c r="AM238" s="468" t="str">
        <f t="shared" ref="AM238:AM258" si="109">I238&amp;J238</f>
        <v/>
      </c>
      <c r="AN238" s="469" t="str">
        <f t="shared" ref="AN238:AN258" si="110">I238&amp;J238</f>
        <v/>
      </c>
      <c r="AO238" s="463" t="s">
        <v>4454</v>
      </c>
      <c r="AP238" s="463"/>
      <c r="AR238" s="71"/>
      <c r="AS238" s="64"/>
      <c r="AT238" s="65"/>
      <c r="AU238" s="66"/>
      <c r="AV238" s="67" t="e">
        <f>#REF!-#REF!</f>
        <v>#REF!</v>
      </c>
    </row>
    <row r="239" spans="1:48" s="470" customFormat="1" ht="25.5" customHeight="1" outlineLevel="2">
      <c r="A239" s="463" t="s">
        <v>4454</v>
      </c>
      <c r="B239" s="485" t="s">
        <v>4530</v>
      </c>
      <c r="C239" s="472">
        <v>71</v>
      </c>
      <c r="D239" s="463" t="s">
        <v>4454</v>
      </c>
      <c r="E239" s="723" t="s">
        <v>4541</v>
      </c>
      <c r="F239" s="474" t="s">
        <v>5602</v>
      </c>
      <c r="G239" s="475"/>
      <c r="H239" s="570" t="s">
        <v>5610</v>
      </c>
      <c r="I239" s="476"/>
      <c r="J239" s="477"/>
      <c r="K239" s="437"/>
      <c r="L239" s="487"/>
      <c r="M239" s="464" t="s">
        <v>13</v>
      </c>
      <c r="N239" s="488"/>
      <c r="O239" s="280">
        <v>0</v>
      </c>
      <c r="P239" s="465"/>
      <c r="Q239" s="479">
        <f>R239+S239</f>
        <v>0</v>
      </c>
      <c r="R239" s="278"/>
      <c r="S239" s="279"/>
      <c r="T239" s="466"/>
      <c r="U239" s="544">
        <v>0</v>
      </c>
      <c r="V239" s="61"/>
      <c r="W239" s="68"/>
      <c r="X239" s="171"/>
      <c r="Y239" s="141"/>
      <c r="Z239" s="70"/>
      <c r="AA239" s="71">
        <f t="shared" si="105"/>
        <v>0</v>
      </c>
      <c r="AB239" s="166">
        <f t="shared" si="108"/>
        <v>0</v>
      </c>
      <c r="AC239" s="281"/>
      <c r="AD239" s="545">
        <f t="shared" si="106"/>
        <v>0</v>
      </c>
      <c r="AE239" s="62"/>
      <c r="AF239" s="73"/>
      <c r="AG239" s="73"/>
      <c r="AH239" s="73"/>
      <c r="AI239" s="74"/>
      <c r="AJ239" s="75">
        <f t="shared" si="107"/>
        <v>0</v>
      </c>
      <c r="AK239" s="467"/>
      <c r="AL239" s="546" t="s">
        <v>4536</v>
      </c>
      <c r="AM239" s="468" t="str">
        <f t="shared" si="109"/>
        <v/>
      </c>
      <c r="AN239" s="469" t="str">
        <f t="shared" si="110"/>
        <v/>
      </c>
      <c r="AO239" s="463" t="s">
        <v>4454</v>
      </c>
      <c r="AP239" s="463"/>
      <c r="AR239" s="71"/>
      <c r="AS239" s="64"/>
      <c r="AT239" s="65"/>
      <c r="AU239" s="66"/>
      <c r="AV239" s="67" t="e">
        <f>#REF!-#REF!</f>
        <v>#REF!</v>
      </c>
    </row>
    <row r="240" spans="1:48" s="470" customFormat="1" ht="25.5" customHeight="1" outlineLevel="2">
      <c r="A240" s="463" t="s">
        <v>4454</v>
      </c>
      <c r="B240" s="485" t="s">
        <v>4530</v>
      </c>
      <c r="C240" s="472">
        <v>71</v>
      </c>
      <c r="D240" s="463" t="s">
        <v>4454</v>
      </c>
      <c r="E240" s="723" t="s">
        <v>4541</v>
      </c>
      <c r="F240" s="474" t="s">
        <v>5602</v>
      </c>
      <c r="G240" s="475"/>
      <c r="H240" s="570" t="s">
        <v>5611</v>
      </c>
      <c r="I240" s="476"/>
      <c r="J240" s="477"/>
      <c r="K240" s="437"/>
      <c r="L240" s="487"/>
      <c r="M240" s="464" t="s">
        <v>13</v>
      </c>
      <c r="N240" s="488"/>
      <c r="O240" s="280">
        <v>0</v>
      </c>
      <c r="P240" s="465"/>
      <c r="Q240" s="479">
        <f>R240+S240</f>
        <v>0</v>
      </c>
      <c r="R240" s="278"/>
      <c r="S240" s="279"/>
      <c r="T240" s="466"/>
      <c r="U240" s="544">
        <v>0</v>
      </c>
      <c r="V240" s="61"/>
      <c r="W240" s="68"/>
      <c r="X240" s="171"/>
      <c r="Y240" s="141"/>
      <c r="Z240" s="70"/>
      <c r="AA240" s="71">
        <f t="shared" si="105"/>
        <v>0</v>
      </c>
      <c r="AB240" s="166">
        <f t="shared" si="108"/>
        <v>0</v>
      </c>
      <c r="AC240" s="281"/>
      <c r="AD240" s="545">
        <f t="shared" si="106"/>
        <v>0</v>
      </c>
      <c r="AE240" s="62"/>
      <c r="AF240" s="73"/>
      <c r="AG240" s="73"/>
      <c r="AH240" s="73"/>
      <c r="AI240" s="74"/>
      <c r="AJ240" s="75">
        <f t="shared" si="107"/>
        <v>0</v>
      </c>
      <c r="AK240" s="467"/>
      <c r="AL240" s="546" t="s">
        <v>4536</v>
      </c>
      <c r="AM240" s="468" t="str">
        <f t="shared" si="109"/>
        <v/>
      </c>
      <c r="AN240" s="469" t="str">
        <f t="shared" si="110"/>
        <v/>
      </c>
      <c r="AO240" s="463" t="s">
        <v>4454</v>
      </c>
      <c r="AP240" s="463"/>
      <c r="AR240" s="71"/>
      <c r="AS240" s="64"/>
      <c r="AT240" s="65"/>
      <c r="AU240" s="66"/>
      <c r="AV240" s="67" t="e">
        <f>#REF!-#REF!</f>
        <v>#REF!</v>
      </c>
    </row>
    <row r="241" spans="1:48" customFormat="1" ht="25.5" customHeight="1" outlineLevel="2">
      <c r="A241" s="542">
        <v>2371</v>
      </c>
      <c r="B241" s="569" t="s">
        <v>4530</v>
      </c>
      <c r="C241" s="458">
        <v>71</v>
      </c>
      <c r="D241" s="542">
        <v>2371</v>
      </c>
      <c r="E241" s="339" t="s">
        <v>4534</v>
      </c>
      <c r="F241" s="428" t="s">
        <v>5602</v>
      </c>
      <c r="G241" s="789"/>
      <c r="H241" s="552" t="s">
        <v>5612</v>
      </c>
      <c r="I241" s="411">
        <v>23</v>
      </c>
      <c r="J241" s="459" t="s">
        <v>4578</v>
      </c>
      <c r="K241" s="553">
        <v>73</v>
      </c>
      <c r="L241" s="675"/>
      <c r="M241" s="464" t="s">
        <v>13</v>
      </c>
      <c r="N241" s="676"/>
      <c r="O241" s="280">
        <v>300000</v>
      </c>
      <c r="P241" s="465">
        <v>300000</v>
      </c>
      <c r="Q241" s="263">
        <f t="shared" si="104"/>
        <v>300000</v>
      </c>
      <c r="R241" s="284"/>
      <c r="S241" s="59">
        <v>300000</v>
      </c>
      <c r="T241" s="466">
        <v>300000</v>
      </c>
      <c r="U241" s="544">
        <v>0</v>
      </c>
      <c r="V241" s="43"/>
      <c r="W241" s="44"/>
      <c r="X241" s="58" t="s">
        <v>4506</v>
      </c>
      <c r="Y241" s="189"/>
      <c r="Z241" s="46"/>
      <c r="AA241" s="47">
        <f t="shared" si="105"/>
        <v>300000</v>
      </c>
      <c r="AB241" s="48">
        <f>SUM(AE241:AI241)+AJ241</f>
        <v>300000</v>
      </c>
      <c r="AC241" s="265"/>
      <c r="AD241" s="424">
        <f t="shared" si="106"/>
        <v>0</v>
      </c>
      <c r="AE241" s="49"/>
      <c r="AF241" s="50"/>
      <c r="AG241" s="50"/>
      <c r="AH241" s="50"/>
      <c r="AI241" s="51"/>
      <c r="AJ241" s="52">
        <f t="shared" si="107"/>
        <v>300000</v>
      </c>
      <c r="AK241" s="462"/>
      <c r="AL241" s="396" t="s">
        <v>5439</v>
      </c>
      <c r="AM241" s="308" t="str">
        <f t="shared" si="109"/>
        <v>2371</v>
      </c>
      <c r="AN241" s="369" t="str">
        <f t="shared" si="110"/>
        <v>2371</v>
      </c>
      <c r="AO241" s="542">
        <v>2371</v>
      </c>
      <c r="AP241" s="542"/>
      <c r="AR241" s="168">
        <f t="shared" ref="AR241:AR250" si="111">U245+AB241-AJ241</f>
        <v>0</v>
      </c>
      <c r="AS241" s="54"/>
      <c r="AT241" s="55">
        <v>231000</v>
      </c>
      <c r="AU241" s="41"/>
      <c r="AV241" s="57" t="e">
        <f>#REF!-#REF!</f>
        <v>#REF!</v>
      </c>
    </row>
    <row r="242" spans="1:48" customFormat="1" ht="25.5" customHeight="1" outlineLevel="2">
      <c r="A242" s="542">
        <v>2372</v>
      </c>
      <c r="B242" s="569" t="s">
        <v>4530</v>
      </c>
      <c r="C242" s="458">
        <v>71</v>
      </c>
      <c r="D242" s="542">
        <v>2372</v>
      </c>
      <c r="E242" s="407" t="s">
        <v>4534</v>
      </c>
      <c r="F242" s="428" t="s">
        <v>5602</v>
      </c>
      <c r="G242" s="789"/>
      <c r="H242" s="410" t="s">
        <v>5613</v>
      </c>
      <c r="I242" s="411">
        <v>23</v>
      </c>
      <c r="J242" s="459" t="s">
        <v>4470</v>
      </c>
      <c r="K242" s="460">
        <v>74</v>
      </c>
      <c r="L242" s="413">
        <v>44287</v>
      </c>
      <c r="M242" s="414" t="s">
        <v>13</v>
      </c>
      <c r="N242" s="415">
        <v>44561</v>
      </c>
      <c r="O242" s="280">
        <v>300000</v>
      </c>
      <c r="P242" s="465">
        <v>300000</v>
      </c>
      <c r="Q242" s="263">
        <f t="shared" si="104"/>
        <v>300000</v>
      </c>
      <c r="R242" s="284"/>
      <c r="S242" s="59">
        <v>300000</v>
      </c>
      <c r="T242" s="466">
        <v>300000</v>
      </c>
      <c r="U242" s="544">
        <v>300000</v>
      </c>
      <c r="V242" s="43"/>
      <c r="W242" s="44"/>
      <c r="X242" s="58" t="s">
        <v>4506</v>
      </c>
      <c r="Y242" s="189"/>
      <c r="Z242" s="46"/>
      <c r="AA242" s="47">
        <f t="shared" si="105"/>
        <v>300000</v>
      </c>
      <c r="AB242" s="48">
        <f>SUM(AE242:AI242)+AJ242</f>
        <v>300000</v>
      </c>
      <c r="AC242" s="265"/>
      <c r="AD242" s="424">
        <f t="shared" si="106"/>
        <v>0</v>
      </c>
      <c r="AE242" s="49"/>
      <c r="AF242" s="50"/>
      <c r="AG242" s="50"/>
      <c r="AH242" s="50"/>
      <c r="AI242" s="51"/>
      <c r="AJ242" s="52">
        <f t="shared" si="107"/>
        <v>300000</v>
      </c>
      <c r="AK242" s="462"/>
      <c r="AL242" s="396" t="s">
        <v>5439</v>
      </c>
      <c r="AM242" s="308" t="str">
        <f t="shared" si="109"/>
        <v>2372</v>
      </c>
      <c r="AN242" s="369" t="str">
        <f t="shared" si="110"/>
        <v>2372</v>
      </c>
      <c r="AO242" s="542">
        <v>2372</v>
      </c>
      <c r="AP242" s="542"/>
      <c r="AR242" s="168">
        <f t="shared" si="111"/>
        <v>0</v>
      </c>
      <c r="AS242" s="54"/>
      <c r="AT242" s="55">
        <v>231000</v>
      </c>
      <c r="AU242" s="41"/>
      <c r="AV242" s="57" t="e">
        <f>#REF!-#REF!</f>
        <v>#REF!</v>
      </c>
    </row>
    <row r="243" spans="1:48" customFormat="1" ht="25.5" customHeight="1" outlineLevel="2">
      <c r="A243" s="542">
        <v>2373</v>
      </c>
      <c r="B243" s="569" t="s">
        <v>4530</v>
      </c>
      <c r="C243" s="458">
        <v>71</v>
      </c>
      <c r="D243" s="542">
        <v>2373</v>
      </c>
      <c r="E243" s="339" t="s">
        <v>4534</v>
      </c>
      <c r="F243" s="428" t="s">
        <v>5602</v>
      </c>
      <c r="G243" s="789"/>
      <c r="H243" s="552" t="s">
        <v>5614</v>
      </c>
      <c r="I243" s="411">
        <v>23</v>
      </c>
      <c r="J243" s="459" t="s">
        <v>4471</v>
      </c>
      <c r="K243" s="553">
        <v>75</v>
      </c>
      <c r="L243" s="413">
        <v>44287</v>
      </c>
      <c r="M243" s="414" t="s">
        <v>13</v>
      </c>
      <c r="N243" s="415">
        <v>44255</v>
      </c>
      <c r="O243" s="280">
        <v>300000</v>
      </c>
      <c r="P243" s="465">
        <v>300000</v>
      </c>
      <c r="Q243" s="263">
        <f t="shared" si="104"/>
        <v>300000</v>
      </c>
      <c r="R243" s="284"/>
      <c r="S243" s="59">
        <v>300000</v>
      </c>
      <c r="T243" s="466">
        <v>300000</v>
      </c>
      <c r="U243" s="544">
        <v>300000</v>
      </c>
      <c r="V243" s="43"/>
      <c r="W243" s="44"/>
      <c r="X243" s="58" t="s">
        <v>4506</v>
      </c>
      <c r="Y243" s="189"/>
      <c r="Z243" s="46"/>
      <c r="AA243" s="47">
        <f t="shared" si="105"/>
        <v>300000</v>
      </c>
      <c r="AB243" s="48">
        <f>SUM(AE243:AI243)+AJ243</f>
        <v>300000</v>
      </c>
      <c r="AC243" s="265"/>
      <c r="AD243" s="424">
        <f t="shared" si="106"/>
        <v>0</v>
      </c>
      <c r="AE243" s="49"/>
      <c r="AF243" s="50"/>
      <c r="AG243" s="50"/>
      <c r="AH243" s="50"/>
      <c r="AI243" s="51"/>
      <c r="AJ243" s="52">
        <f t="shared" si="107"/>
        <v>300000</v>
      </c>
      <c r="AK243" s="462"/>
      <c r="AL243" s="396" t="s">
        <v>5439</v>
      </c>
      <c r="AM243" s="308" t="str">
        <f t="shared" si="109"/>
        <v>2373</v>
      </c>
      <c r="AN243" s="369" t="str">
        <f t="shared" si="110"/>
        <v>2373</v>
      </c>
      <c r="AO243" s="542">
        <v>2373</v>
      </c>
      <c r="AP243" s="542"/>
      <c r="AR243" s="168">
        <f t="shared" si="111"/>
        <v>0</v>
      </c>
      <c r="AS243" s="54"/>
      <c r="AT243" s="55">
        <v>231000</v>
      </c>
      <c r="AU243" s="41"/>
      <c r="AV243" s="57" t="e">
        <f>#REF!-#REF!</f>
        <v>#REF!</v>
      </c>
    </row>
    <row r="244" spans="1:48" customFormat="1" ht="25.5" customHeight="1" outlineLevel="2">
      <c r="A244" s="542" t="s">
        <v>4454</v>
      </c>
      <c r="B244" s="569" t="s">
        <v>4530</v>
      </c>
      <c r="C244" s="458">
        <v>71</v>
      </c>
      <c r="D244" s="542" t="s">
        <v>4454</v>
      </c>
      <c r="E244" s="407" t="s">
        <v>4534</v>
      </c>
      <c r="F244" s="428" t="s">
        <v>5602</v>
      </c>
      <c r="G244" s="789"/>
      <c r="H244" s="429" t="s">
        <v>5615</v>
      </c>
      <c r="I244" s="411"/>
      <c r="J244" s="459"/>
      <c r="K244" s="437"/>
      <c r="L244" s="413">
        <v>44287</v>
      </c>
      <c r="M244" s="414" t="s">
        <v>13</v>
      </c>
      <c r="N244" s="415">
        <v>44255</v>
      </c>
      <c r="O244" s="280">
        <v>0</v>
      </c>
      <c r="P244" s="465"/>
      <c r="Q244" s="263">
        <f t="shared" si="104"/>
        <v>0</v>
      </c>
      <c r="R244" s="284"/>
      <c r="S244" s="285"/>
      <c r="T244" s="466"/>
      <c r="U244" s="544">
        <v>300000</v>
      </c>
      <c r="V244" s="43"/>
      <c r="W244" s="44"/>
      <c r="X244" s="132"/>
      <c r="Y244" s="189"/>
      <c r="Z244" s="46"/>
      <c r="AA244" s="47">
        <f t="shared" si="105"/>
        <v>0</v>
      </c>
      <c r="AB244" s="48">
        <f>SUM(AE244:AI244)</f>
        <v>0</v>
      </c>
      <c r="AC244" s="265"/>
      <c r="AD244" s="424">
        <f t="shared" si="106"/>
        <v>0</v>
      </c>
      <c r="AE244" s="49"/>
      <c r="AF244" s="50"/>
      <c r="AG244" s="50"/>
      <c r="AH244" s="50"/>
      <c r="AI244" s="51"/>
      <c r="AJ244" s="52">
        <f t="shared" si="107"/>
        <v>0</v>
      </c>
      <c r="AK244" s="462"/>
      <c r="AL244" s="442"/>
      <c r="AM244" s="308" t="str">
        <f t="shared" si="109"/>
        <v/>
      </c>
      <c r="AN244" s="369" t="str">
        <f t="shared" si="110"/>
        <v/>
      </c>
      <c r="AO244" s="542" t="s">
        <v>4454</v>
      </c>
      <c r="AP244" s="542"/>
      <c r="AR244" s="168">
        <f t="shared" si="111"/>
        <v>200000</v>
      </c>
      <c r="AS244" s="54"/>
      <c r="AT244" s="55">
        <v>231000</v>
      </c>
      <c r="AU244" s="41"/>
      <c r="AV244" s="57" t="e">
        <f>#REF!-#REF!</f>
        <v>#REF!</v>
      </c>
    </row>
    <row r="245" spans="1:48" customFormat="1" ht="25.5" customHeight="1" outlineLevel="2">
      <c r="A245" s="369" t="s">
        <v>4454</v>
      </c>
      <c r="B245" s="569" t="s">
        <v>4530</v>
      </c>
      <c r="C245" s="458">
        <v>71</v>
      </c>
      <c r="D245" s="369" t="s">
        <v>4454</v>
      </c>
      <c r="E245" s="339" t="s">
        <v>4534</v>
      </c>
      <c r="F245" s="428" t="s">
        <v>5602</v>
      </c>
      <c r="G245" s="790"/>
      <c r="H245" s="342" t="s">
        <v>4584</v>
      </c>
      <c r="I245" s="411"/>
      <c r="J245" s="459"/>
      <c r="K245" s="437"/>
      <c r="L245" s="413"/>
      <c r="M245" s="464" t="s">
        <v>13</v>
      </c>
      <c r="N245" s="415"/>
      <c r="O245" s="280">
        <v>0</v>
      </c>
      <c r="P245" s="465">
        <v>150000</v>
      </c>
      <c r="Q245" s="263">
        <f t="shared" si="104"/>
        <v>0</v>
      </c>
      <c r="R245" s="284"/>
      <c r="S245" s="285"/>
      <c r="T245" s="466">
        <v>150000</v>
      </c>
      <c r="U245" s="544">
        <v>0</v>
      </c>
      <c r="V245" s="43"/>
      <c r="W245" s="44"/>
      <c r="X245" s="58"/>
      <c r="Y245" s="189"/>
      <c r="Z245" s="46"/>
      <c r="AA245" s="47">
        <f t="shared" si="105"/>
        <v>0</v>
      </c>
      <c r="AB245" s="48">
        <f t="shared" ref="AB245:AB254" si="112">SUM(AE245:AI245)+AJ245</f>
        <v>0</v>
      </c>
      <c r="AC245" s="265"/>
      <c r="AD245" s="424">
        <f t="shared" si="106"/>
        <v>0</v>
      </c>
      <c r="AE245" s="49"/>
      <c r="AF245" s="50"/>
      <c r="AG245" s="50"/>
      <c r="AH245" s="50"/>
      <c r="AI245" s="51"/>
      <c r="AJ245" s="52">
        <f t="shared" si="107"/>
        <v>0</v>
      </c>
      <c r="AK245" s="462"/>
      <c r="AL245" s="396"/>
      <c r="AM245" s="308" t="str">
        <f t="shared" si="109"/>
        <v/>
      </c>
      <c r="AN245" s="369" t="str">
        <f t="shared" si="110"/>
        <v/>
      </c>
      <c r="AO245" s="369" t="s">
        <v>4454</v>
      </c>
      <c r="AP245" s="369"/>
      <c r="AR245" s="168">
        <f t="shared" si="111"/>
        <v>0</v>
      </c>
      <c r="AS245" s="54"/>
      <c r="AT245" s="55">
        <v>231000</v>
      </c>
      <c r="AU245" s="41"/>
      <c r="AV245" s="57" t="e">
        <f>#REF!-#REF!</f>
        <v>#REF!</v>
      </c>
    </row>
    <row r="246" spans="1:48" customFormat="1" ht="25.5" customHeight="1" outlineLevel="2">
      <c r="A246" s="369">
        <v>2374</v>
      </c>
      <c r="B246" s="569" t="s">
        <v>4530</v>
      </c>
      <c r="C246" s="458">
        <v>71</v>
      </c>
      <c r="D246" s="369">
        <v>2374</v>
      </c>
      <c r="E246" s="339" t="s">
        <v>4534</v>
      </c>
      <c r="F246" s="428" t="s">
        <v>5602</v>
      </c>
      <c r="G246" s="790"/>
      <c r="H246" s="552" t="s">
        <v>5616</v>
      </c>
      <c r="I246" s="411">
        <v>23</v>
      </c>
      <c r="J246" s="459" t="s">
        <v>4585</v>
      </c>
      <c r="K246" s="460">
        <v>76</v>
      </c>
      <c r="L246" s="413">
        <v>44317</v>
      </c>
      <c r="M246" s="464" t="s">
        <v>13</v>
      </c>
      <c r="N246" s="415">
        <v>44255</v>
      </c>
      <c r="O246" s="280">
        <v>0</v>
      </c>
      <c r="P246" s="465">
        <v>250000</v>
      </c>
      <c r="Q246" s="263">
        <f t="shared" si="104"/>
        <v>50000</v>
      </c>
      <c r="R246" s="284"/>
      <c r="S246" s="59">
        <v>50000</v>
      </c>
      <c r="T246" s="466">
        <v>250000</v>
      </c>
      <c r="U246" s="544">
        <v>0</v>
      </c>
      <c r="V246" s="43"/>
      <c r="W246" s="44"/>
      <c r="X246" s="58" t="s">
        <v>4506</v>
      </c>
      <c r="Y246" s="189"/>
      <c r="Z246" s="46"/>
      <c r="AA246" s="47">
        <f t="shared" si="105"/>
        <v>50000</v>
      </c>
      <c r="AB246" s="48">
        <f t="shared" si="112"/>
        <v>50000</v>
      </c>
      <c r="AC246" s="265"/>
      <c r="AD246" s="424">
        <f t="shared" si="106"/>
        <v>0</v>
      </c>
      <c r="AE246" s="49"/>
      <c r="AF246" s="50"/>
      <c r="AG246" s="50"/>
      <c r="AH246" s="50"/>
      <c r="AI246" s="51"/>
      <c r="AJ246" s="52">
        <f t="shared" si="107"/>
        <v>50000</v>
      </c>
      <c r="AK246" s="462"/>
      <c r="AL246" s="396" t="s">
        <v>5439</v>
      </c>
      <c r="AM246" s="308" t="str">
        <f t="shared" si="109"/>
        <v>2374</v>
      </c>
      <c r="AN246" s="369" t="str">
        <f t="shared" si="110"/>
        <v>2374</v>
      </c>
      <c r="AO246" s="369">
        <v>2374</v>
      </c>
      <c r="AP246" s="369"/>
      <c r="AR246" s="168">
        <f t="shared" si="111"/>
        <v>450000</v>
      </c>
      <c r="AS246" s="54"/>
      <c r="AT246" s="55">
        <v>231000</v>
      </c>
      <c r="AU246" s="41"/>
      <c r="AV246" s="57" t="e">
        <f>#REF!-#REF!</f>
        <v>#REF!</v>
      </c>
    </row>
    <row r="247" spans="1:48" customFormat="1" ht="25.5" customHeight="1" outlineLevel="2">
      <c r="A247" s="542" t="s">
        <v>4454</v>
      </c>
      <c r="B247" s="569" t="s">
        <v>4530</v>
      </c>
      <c r="C247" s="458">
        <v>71</v>
      </c>
      <c r="D247" s="542" t="s">
        <v>4454</v>
      </c>
      <c r="E247" s="407" t="s">
        <v>4534</v>
      </c>
      <c r="F247" s="428" t="s">
        <v>5602</v>
      </c>
      <c r="G247" s="409"/>
      <c r="H247" s="429" t="s">
        <v>5617</v>
      </c>
      <c r="I247" s="411"/>
      <c r="J247" s="459"/>
      <c r="K247" s="437"/>
      <c r="L247" s="675"/>
      <c r="M247" s="464" t="s">
        <v>13</v>
      </c>
      <c r="N247" s="676"/>
      <c r="O247" s="280">
        <v>200000</v>
      </c>
      <c r="P247" s="465">
        <v>100000</v>
      </c>
      <c r="Q247" s="263">
        <f>R247+S247</f>
        <v>0</v>
      </c>
      <c r="R247" s="284"/>
      <c r="S247" s="285"/>
      <c r="T247" s="466">
        <v>100000</v>
      </c>
      <c r="U247" s="544">
        <v>0</v>
      </c>
      <c r="V247" s="43"/>
      <c r="W247" s="44"/>
      <c r="X247" s="58"/>
      <c r="Y247" s="187"/>
      <c r="Z247" s="46"/>
      <c r="AA247" s="47">
        <f t="shared" si="105"/>
        <v>0</v>
      </c>
      <c r="AB247" s="48">
        <f t="shared" si="112"/>
        <v>0</v>
      </c>
      <c r="AC247" s="265"/>
      <c r="AD247" s="424">
        <f t="shared" si="106"/>
        <v>0</v>
      </c>
      <c r="AE247" s="49"/>
      <c r="AF247" s="50"/>
      <c r="AG247" s="50"/>
      <c r="AH247" s="50"/>
      <c r="AI247" s="51"/>
      <c r="AJ247" s="52">
        <f t="shared" si="107"/>
        <v>0</v>
      </c>
      <c r="AK247" s="462"/>
      <c r="AL247" s="396"/>
      <c r="AM247" s="308" t="str">
        <f t="shared" si="109"/>
        <v/>
      </c>
      <c r="AN247" s="369" t="str">
        <f t="shared" si="110"/>
        <v/>
      </c>
      <c r="AO247" s="542" t="s">
        <v>4454</v>
      </c>
      <c r="AP247" s="542"/>
      <c r="AR247" s="168">
        <f t="shared" si="111"/>
        <v>0</v>
      </c>
      <c r="AS247" s="54"/>
      <c r="AT247" s="55">
        <f>10000*9+1000*9</f>
        <v>99000</v>
      </c>
      <c r="AU247" s="41"/>
      <c r="AV247" s="57" t="e">
        <f>#REF!-#REF!</f>
        <v>#REF!</v>
      </c>
    </row>
    <row r="248" spans="1:48" customFormat="1" ht="25.5" customHeight="1" outlineLevel="2">
      <c r="A248" s="542">
        <v>2375</v>
      </c>
      <c r="B248" s="569" t="s">
        <v>4530</v>
      </c>
      <c r="C248" s="458">
        <v>71</v>
      </c>
      <c r="D248" s="542">
        <v>2375</v>
      </c>
      <c r="E248" s="407" t="s">
        <v>4534</v>
      </c>
      <c r="F248" s="428" t="s">
        <v>5602</v>
      </c>
      <c r="G248" s="409"/>
      <c r="H248" s="410" t="s">
        <v>5618</v>
      </c>
      <c r="I248" s="411">
        <v>23</v>
      </c>
      <c r="J248" s="459" t="s">
        <v>4587</v>
      </c>
      <c r="K248" s="460">
        <v>77</v>
      </c>
      <c r="L248" s="413">
        <v>44287</v>
      </c>
      <c r="M248" s="414" t="s">
        <v>13</v>
      </c>
      <c r="N248" s="415">
        <v>44561</v>
      </c>
      <c r="O248" s="280">
        <v>200000</v>
      </c>
      <c r="P248" s="465">
        <v>200000</v>
      </c>
      <c r="Q248" s="263">
        <f>R248+S248</f>
        <v>100000</v>
      </c>
      <c r="R248" s="284"/>
      <c r="S248" s="59">
        <v>100000</v>
      </c>
      <c r="T248" s="466">
        <v>200000</v>
      </c>
      <c r="U248" s="544">
        <v>200000</v>
      </c>
      <c r="V248" s="43"/>
      <c r="W248" s="44"/>
      <c r="X248" s="58" t="s">
        <v>4506</v>
      </c>
      <c r="Y248" s="187"/>
      <c r="Z248" s="46"/>
      <c r="AA248" s="47">
        <f t="shared" si="105"/>
        <v>100000</v>
      </c>
      <c r="AB248" s="48">
        <f t="shared" si="112"/>
        <v>100000</v>
      </c>
      <c r="AC248" s="265"/>
      <c r="AD248" s="424">
        <f t="shared" si="106"/>
        <v>0</v>
      </c>
      <c r="AE248" s="49"/>
      <c r="AF248" s="50"/>
      <c r="AG248" s="50"/>
      <c r="AH248" s="50"/>
      <c r="AI248" s="51"/>
      <c r="AJ248" s="52">
        <f t="shared" si="107"/>
        <v>100000</v>
      </c>
      <c r="AK248" s="462"/>
      <c r="AL248" s="396" t="s">
        <v>5439</v>
      </c>
      <c r="AM248" s="308" t="str">
        <f t="shared" si="109"/>
        <v>2375</v>
      </c>
      <c r="AN248" s="369" t="str">
        <f t="shared" si="110"/>
        <v>2375</v>
      </c>
      <c r="AO248" s="542">
        <v>2375</v>
      </c>
      <c r="AP248" s="542"/>
      <c r="AR248" s="168">
        <f t="shared" si="111"/>
        <v>0</v>
      </c>
      <c r="AS248" s="54"/>
      <c r="AT248" s="55">
        <f>10000*9+1000*9</f>
        <v>99000</v>
      </c>
      <c r="AU248" s="41"/>
      <c r="AV248" s="57" t="e">
        <f>#REF!-#REF!</f>
        <v>#REF!</v>
      </c>
    </row>
    <row r="249" spans="1:48" s="470" customFormat="1" ht="25.5" customHeight="1" outlineLevel="2">
      <c r="A249" s="469" t="s">
        <v>4454</v>
      </c>
      <c r="B249" s="485" t="s">
        <v>4530</v>
      </c>
      <c r="C249" s="472">
        <v>71</v>
      </c>
      <c r="D249" s="469" t="s">
        <v>4454</v>
      </c>
      <c r="E249" s="723" t="s">
        <v>4534</v>
      </c>
      <c r="F249" s="474" t="s">
        <v>5602</v>
      </c>
      <c r="G249" s="791"/>
      <c r="H249" s="726" t="s">
        <v>4586</v>
      </c>
      <c r="I249" s="476"/>
      <c r="J249" s="477"/>
      <c r="K249" s="792"/>
      <c r="L249" s="487"/>
      <c r="M249" s="464" t="s">
        <v>13</v>
      </c>
      <c r="N249" s="488"/>
      <c r="O249" s="280">
        <v>0</v>
      </c>
      <c r="P249" s="465"/>
      <c r="Q249" s="479">
        <f t="shared" si="104"/>
        <v>0</v>
      </c>
      <c r="R249" s="278"/>
      <c r="S249" s="279"/>
      <c r="T249" s="466"/>
      <c r="U249" s="544">
        <v>0</v>
      </c>
      <c r="V249" s="61"/>
      <c r="W249" s="68"/>
      <c r="X249" s="191"/>
      <c r="Y249" s="190"/>
      <c r="Z249" s="70"/>
      <c r="AA249" s="71">
        <f t="shared" si="105"/>
        <v>0</v>
      </c>
      <c r="AB249" s="72">
        <f t="shared" si="112"/>
        <v>0</v>
      </c>
      <c r="AC249" s="267"/>
      <c r="AD249" s="545">
        <f t="shared" si="106"/>
        <v>0</v>
      </c>
      <c r="AE249" s="62"/>
      <c r="AF249" s="73"/>
      <c r="AG249" s="73"/>
      <c r="AH249" s="73"/>
      <c r="AI249" s="74"/>
      <c r="AJ249" s="75">
        <f t="shared" si="107"/>
        <v>0</v>
      </c>
      <c r="AK249" s="467"/>
      <c r="AL249" s="481"/>
      <c r="AM249" s="468" t="str">
        <f t="shared" si="109"/>
        <v/>
      </c>
      <c r="AN249" s="469" t="str">
        <f t="shared" si="110"/>
        <v/>
      </c>
      <c r="AO249" s="469" t="s">
        <v>4454</v>
      </c>
      <c r="AP249" s="469"/>
      <c r="AR249" s="71">
        <f t="shared" si="111"/>
        <v>0</v>
      </c>
      <c r="AS249" s="64"/>
      <c r="AT249" s="65">
        <v>231000</v>
      </c>
      <c r="AU249" s="66"/>
      <c r="AV249" s="67" t="e">
        <f>#REF!-#REF!</f>
        <v>#REF!</v>
      </c>
    </row>
    <row r="250" spans="1:48" customFormat="1" ht="25.5" customHeight="1" outlineLevel="2">
      <c r="A250" s="542">
        <v>2376</v>
      </c>
      <c r="B250" s="569" t="s">
        <v>4530</v>
      </c>
      <c r="C250" s="458">
        <v>71</v>
      </c>
      <c r="D250" s="542">
        <v>2376</v>
      </c>
      <c r="E250" s="407" t="s">
        <v>4534</v>
      </c>
      <c r="F250" s="428" t="s">
        <v>5602</v>
      </c>
      <c r="G250" s="409"/>
      <c r="H250" s="410" t="s">
        <v>5619</v>
      </c>
      <c r="I250" s="411">
        <v>23</v>
      </c>
      <c r="J250" s="459" t="s">
        <v>5620</v>
      </c>
      <c r="K250" s="460">
        <v>22</v>
      </c>
      <c r="L250" s="413">
        <v>44287</v>
      </c>
      <c r="M250" s="414" t="s">
        <v>13</v>
      </c>
      <c r="N250" s="415">
        <v>44286</v>
      </c>
      <c r="O250" s="280">
        <v>500000</v>
      </c>
      <c r="P250" s="465">
        <v>500000</v>
      </c>
      <c r="Q250" s="263">
        <f t="shared" si="104"/>
        <v>450000</v>
      </c>
      <c r="R250" s="284"/>
      <c r="S250" s="59">
        <v>450000</v>
      </c>
      <c r="T250" s="466">
        <v>500000</v>
      </c>
      <c r="U250" s="544">
        <v>450000</v>
      </c>
      <c r="V250" s="43"/>
      <c r="W250" s="44"/>
      <c r="X250" s="58" t="s">
        <v>4506</v>
      </c>
      <c r="Y250" s="187"/>
      <c r="Z250" s="46"/>
      <c r="AA250" s="47">
        <f t="shared" si="105"/>
        <v>450000</v>
      </c>
      <c r="AB250" s="48">
        <f t="shared" si="112"/>
        <v>450000</v>
      </c>
      <c r="AC250" s="265"/>
      <c r="AD250" s="424">
        <f t="shared" si="106"/>
        <v>0</v>
      </c>
      <c r="AE250" s="49"/>
      <c r="AF250" s="50"/>
      <c r="AG250" s="50"/>
      <c r="AH250" s="50"/>
      <c r="AI250" s="51"/>
      <c r="AJ250" s="52">
        <f t="shared" si="107"/>
        <v>450000</v>
      </c>
      <c r="AK250" s="462"/>
      <c r="AL250" s="396" t="s">
        <v>5439</v>
      </c>
      <c r="AM250" s="308" t="str">
        <f t="shared" si="109"/>
        <v>2376</v>
      </c>
      <c r="AN250" s="369" t="str">
        <f t="shared" si="110"/>
        <v>2376</v>
      </c>
      <c r="AO250" s="542">
        <v>2376</v>
      </c>
      <c r="AP250" s="542"/>
      <c r="AR250" s="168">
        <f t="shared" si="111"/>
        <v>0</v>
      </c>
      <c r="AS250" s="54"/>
      <c r="AT250" s="55">
        <f>10000*9+1000*9</f>
        <v>99000</v>
      </c>
      <c r="AU250" s="41"/>
      <c r="AV250" s="57" t="e">
        <f>#REF!-#REF!</f>
        <v>#REF!</v>
      </c>
    </row>
    <row r="251" spans="1:48" s="470" customFormat="1" ht="25.5" customHeight="1" outlineLevel="2">
      <c r="A251" s="463" t="s">
        <v>4454</v>
      </c>
      <c r="B251" s="485" t="s">
        <v>4530</v>
      </c>
      <c r="C251" s="472">
        <v>71</v>
      </c>
      <c r="D251" s="463" t="s">
        <v>4454</v>
      </c>
      <c r="E251" s="473" t="s">
        <v>4534</v>
      </c>
      <c r="F251" s="474" t="s">
        <v>5602</v>
      </c>
      <c r="G251" s="475"/>
      <c r="H251" s="486" t="s">
        <v>5621</v>
      </c>
      <c r="I251" s="476"/>
      <c r="J251" s="477"/>
      <c r="K251" s="478"/>
      <c r="L251" s="627"/>
      <c r="M251" s="464" t="s">
        <v>13</v>
      </c>
      <c r="N251" s="628"/>
      <c r="O251" s="280">
        <v>0</v>
      </c>
      <c r="P251" s="465"/>
      <c r="Q251" s="479">
        <f t="shared" si="104"/>
        <v>0</v>
      </c>
      <c r="R251" s="278"/>
      <c r="S251" s="279"/>
      <c r="T251" s="466"/>
      <c r="U251" s="544">
        <v>0</v>
      </c>
      <c r="V251" s="61"/>
      <c r="W251" s="68"/>
      <c r="X251" s="171"/>
      <c r="Y251" s="141"/>
      <c r="Z251" s="70"/>
      <c r="AA251" s="71">
        <f t="shared" si="105"/>
        <v>0</v>
      </c>
      <c r="AB251" s="166">
        <f t="shared" si="112"/>
        <v>0</v>
      </c>
      <c r="AC251" s="281"/>
      <c r="AD251" s="545">
        <f t="shared" si="106"/>
        <v>0</v>
      </c>
      <c r="AE251" s="62"/>
      <c r="AF251" s="73"/>
      <c r="AG251" s="73"/>
      <c r="AH251" s="73"/>
      <c r="AI251" s="74"/>
      <c r="AJ251" s="75">
        <f t="shared" si="107"/>
        <v>0</v>
      </c>
      <c r="AK251" s="467"/>
      <c r="AL251" s="546"/>
      <c r="AM251" s="468" t="str">
        <f t="shared" si="109"/>
        <v/>
      </c>
      <c r="AN251" s="469" t="str">
        <f t="shared" si="110"/>
        <v/>
      </c>
      <c r="AO251" s="463" t="s">
        <v>4454</v>
      </c>
      <c r="AP251" s="463"/>
      <c r="AR251" s="71"/>
      <c r="AS251" s="64"/>
      <c r="AT251" s="65">
        <v>48000</v>
      </c>
      <c r="AU251" s="66"/>
      <c r="AV251" s="67" t="e">
        <f>#REF!-#REF!</f>
        <v>#REF!</v>
      </c>
    </row>
    <row r="252" spans="1:48" s="470" customFormat="1" ht="25.5" customHeight="1" outlineLevel="2">
      <c r="A252" s="463" t="s">
        <v>4454</v>
      </c>
      <c r="B252" s="485" t="s">
        <v>4530</v>
      </c>
      <c r="C252" s="472">
        <v>71</v>
      </c>
      <c r="D252" s="463" t="s">
        <v>4454</v>
      </c>
      <c r="E252" s="473" t="s">
        <v>4534</v>
      </c>
      <c r="F252" s="474" t="s">
        <v>5602</v>
      </c>
      <c r="G252" s="475"/>
      <c r="H252" s="486" t="s">
        <v>5622</v>
      </c>
      <c r="I252" s="476"/>
      <c r="J252" s="477"/>
      <c r="K252" s="478"/>
      <c r="L252" s="627"/>
      <c r="M252" s="464" t="s">
        <v>13</v>
      </c>
      <c r="N252" s="628"/>
      <c r="O252" s="280">
        <v>0</v>
      </c>
      <c r="P252" s="465"/>
      <c r="Q252" s="479">
        <f t="shared" si="104"/>
        <v>0</v>
      </c>
      <c r="R252" s="278"/>
      <c r="S252" s="279"/>
      <c r="T252" s="466"/>
      <c r="U252" s="544">
        <v>0</v>
      </c>
      <c r="V252" s="61"/>
      <c r="W252" s="68"/>
      <c r="X252" s="171"/>
      <c r="Y252" s="141"/>
      <c r="Z252" s="70"/>
      <c r="AA252" s="71">
        <f t="shared" si="105"/>
        <v>0</v>
      </c>
      <c r="AB252" s="166">
        <f t="shared" si="112"/>
        <v>0</v>
      </c>
      <c r="AC252" s="281"/>
      <c r="AD252" s="545">
        <f t="shared" si="106"/>
        <v>0</v>
      </c>
      <c r="AE252" s="62"/>
      <c r="AF252" s="73"/>
      <c r="AG252" s="73"/>
      <c r="AH252" s="73"/>
      <c r="AI252" s="74"/>
      <c r="AJ252" s="75">
        <f t="shared" si="107"/>
        <v>0</v>
      </c>
      <c r="AK252" s="467"/>
      <c r="AL252" s="546"/>
      <c r="AM252" s="468" t="str">
        <f t="shared" si="109"/>
        <v/>
      </c>
      <c r="AN252" s="469" t="str">
        <f t="shared" si="110"/>
        <v/>
      </c>
      <c r="AO252" s="463" t="s">
        <v>4454</v>
      </c>
      <c r="AP252" s="463"/>
      <c r="AR252" s="71"/>
      <c r="AS252" s="64"/>
      <c r="AT252" s="65">
        <v>48000</v>
      </c>
      <c r="AU252" s="66"/>
      <c r="AV252" s="67" t="e">
        <f>#REF!-#REF!</f>
        <v>#REF!</v>
      </c>
    </row>
    <row r="253" spans="1:48" s="470" customFormat="1" ht="25.5" customHeight="1" outlineLevel="2">
      <c r="A253" s="463" t="s">
        <v>4454</v>
      </c>
      <c r="B253" s="485" t="s">
        <v>4530</v>
      </c>
      <c r="C253" s="472">
        <v>71</v>
      </c>
      <c r="D253" s="463" t="s">
        <v>4454</v>
      </c>
      <c r="E253" s="473" t="s">
        <v>4534</v>
      </c>
      <c r="F253" s="474" t="s">
        <v>5602</v>
      </c>
      <c r="G253" s="475"/>
      <c r="H253" s="486" t="s">
        <v>5623</v>
      </c>
      <c r="I253" s="476"/>
      <c r="J253" s="477"/>
      <c r="K253" s="478"/>
      <c r="L253" s="627"/>
      <c r="M253" s="464" t="s">
        <v>13</v>
      </c>
      <c r="N253" s="628"/>
      <c r="O253" s="280">
        <v>0</v>
      </c>
      <c r="P253" s="465"/>
      <c r="Q253" s="479">
        <f t="shared" si="104"/>
        <v>0</v>
      </c>
      <c r="R253" s="278"/>
      <c r="S253" s="279"/>
      <c r="T253" s="466"/>
      <c r="U253" s="544">
        <v>0</v>
      </c>
      <c r="V253" s="61"/>
      <c r="W253" s="68"/>
      <c r="X253" s="171"/>
      <c r="Y253" s="141"/>
      <c r="Z253" s="70"/>
      <c r="AA253" s="71">
        <f t="shared" si="105"/>
        <v>0</v>
      </c>
      <c r="AB253" s="166">
        <f t="shared" si="112"/>
        <v>0</v>
      </c>
      <c r="AC253" s="281"/>
      <c r="AD253" s="545">
        <f t="shared" si="106"/>
        <v>0</v>
      </c>
      <c r="AE253" s="62"/>
      <c r="AF253" s="73"/>
      <c r="AG253" s="73"/>
      <c r="AH253" s="73"/>
      <c r="AI253" s="74"/>
      <c r="AJ253" s="75">
        <f t="shared" si="107"/>
        <v>0</v>
      </c>
      <c r="AK253" s="467"/>
      <c r="AL253" s="546"/>
      <c r="AM253" s="468" t="str">
        <f t="shared" si="109"/>
        <v/>
      </c>
      <c r="AN253" s="469" t="str">
        <f t="shared" si="110"/>
        <v/>
      </c>
      <c r="AO253" s="463" t="s">
        <v>4454</v>
      </c>
      <c r="AP253" s="463"/>
      <c r="AR253" s="71"/>
      <c r="AS253" s="64"/>
      <c r="AT253" s="65"/>
      <c r="AU253" s="66"/>
      <c r="AV253" s="67" t="e">
        <f>#REF!-#REF!</f>
        <v>#REF!</v>
      </c>
    </row>
    <row r="254" spans="1:48" s="470" customFormat="1" ht="25.5" customHeight="1" outlineLevel="2">
      <c r="A254" s="463" t="s">
        <v>4454</v>
      </c>
      <c r="B254" s="485" t="s">
        <v>4530</v>
      </c>
      <c r="C254" s="472">
        <v>71</v>
      </c>
      <c r="D254" s="463" t="s">
        <v>4454</v>
      </c>
      <c r="E254" s="473" t="s">
        <v>4534</v>
      </c>
      <c r="F254" s="474" t="s">
        <v>5602</v>
      </c>
      <c r="G254" s="475"/>
      <c r="H254" s="793" t="s">
        <v>5624</v>
      </c>
      <c r="I254" s="476"/>
      <c r="J254" s="477"/>
      <c r="K254" s="498"/>
      <c r="L254" s="627"/>
      <c r="M254" s="464" t="s">
        <v>13</v>
      </c>
      <c r="N254" s="628"/>
      <c r="O254" s="280">
        <v>0</v>
      </c>
      <c r="P254" s="465"/>
      <c r="Q254" s="263">
        <f t="shared" si="104"/>
        <v>0</v>
      </c>
      <c r="R254" s="278"/>
      <c r="S254" s="279"/>
      <c r="T254" s="466"/>
      <c r="U254" s="544">
        <v>0</v>
      </c>
      <c r="V254" s="61"/>
      <c r="W254" s="68"/>
      <c r="X254" s="171"/>
      <c r="Y254" s="141"/>
      <c r="Z254" s="70"/>
      <c r="AA254" s="71">
        <f t="shared" si="105"/>
        <v>0</v>
      </c>
      <c r="AB254" s="166">
        <f t="shared" si="112"/>
        <v>0</v>
      </c>
      <c r="AC254" s="281"/>
      <c r="AD254" s="545">
        <f t="shared" si="106"/>
        <v>0</v>
      </c>
      <c r="AE254" s="62"/>
      <c r="AF254" s="73"/>
      <c r="AG254" s="73"/>
      <c r="AH254" s="73"/>
      <c r="AI254" s="74"/>
      <c r="AJ254" s="75">
        <f t="shared" si="107"/>
        <v>0</v>
      </c>
      <c r="AK254" s="467"/>
      <c r="AL254" s="546"/>
      <c r="AM254" s="468" t="str">
        <f t="shared" si="109"/>
        <v/>
      </c>
      <c r="AN254" s="469" t="str">
        <f t="shared" si="110"/>
        <v/>
      </c>
      <c r="AO254" s="463" t="s">
        <v>4454</v>
      </c>
      <c r="AP254" s="463"/>
      <c r="AR254" s="71"/>
      <c r="AS254" s="64"/>
      <c r="AT254" s="65"/>
      <c r="AU254" s="66"/>
      <c r="AV254" s="67" t="e">
        <f>#REF!-#REF!</f>
        <v>#REF!</v>
      </c>
    </row>
    <row r="255" spans="1:48" s="470" customFormat="1" ht="25.5" customHeight="1" outlineLevel="2">
      <c r="A255" s="463" t="s">
        <v>4454</v>
      </c>
      <c r="B255" s="485"/>
      <c r="C255" s="472" t="s">
        <v>4578</v>
      </c>
      <c r="D255" s="463" t="s">
        <v>4454</v>
      </c>
      <c r="E255" s="473"/>
      <c r="F255" s="474" t="s">
        <v>5602</v>
      </c>
      <c r="G255" s="475"/>
      <c r="H255" s="486"/>
      <c r="I255" s="476"/>
      <c r="J255" s="477"/>
      <c r="K255" s="437"/>
      <c r="L255" s="487"/>
      <c r="M255" s="464" t="s">
        <v>13</v>
      </c>
      <c r="N255" s="488"/>
      <c r="O255" s="280">
        <v>0</v>
      </c>
      <c r="P255" s="465"/>
      <c r="Q255" s="263">
        <f t="shared" si="104"/>
        <v>0</v>
      </c>
      <c r="R255" s="278"/>
      <c r="S255" s="279"/>
      <c r="T255" s="466"/>
      <c r="U255" s="544">
        <v>0</v>
      </c>
      <c r="V255" s="61"/>
      <c r="W255" s="68"/>
      <c r="X255" s="79"/>
      <c r="Y255" s="70"/>
      <c r="Z255" s="70"/>
      <c r="AA255" s="63">
        <f t="shared" si="105"/>
        <v>0</v>
      </c>
      <c r="AB255" s="72"/>
      <c r="AC255" s="267"/>
      <c r="AD255" s="545">
        <f t="shared" si="106"/>
        <v>0</v>
      </c>
      <c r="AE255" s="62"/>
      <c r="AF255" s="73"/>
      <c r="AG255" s="73"/>
      <c r="AH255" s="73"/>
      <c r="AI255" s="74"/>
      <c r="AJ255" s="75">
        <f t="shared" si="107"/>
        <v>0</v>
      </c>
      <c r="AK255" s="467"/>
      <c r="AL255" s="546"/>
      <c r="AM255" s="468" t="str">
        <f t="shared" si="109"/>
        <v/>
      </c>
      <c r="AN255" s="469" t="str">
        <f t="shared" si="110"/>
        <v/>
      </c>
      <c r="AO255" s="463" t="s">
        <v>4454</v>
      </c>
      <c r="AP255" s="463"/>
      <c r="AR255" s="63"/>
      <c r="AS255" s="64"/>
      <c r="AT255" s="65"/>
      <c r="AU255" s="66"/>
      <c r="AV255" s="67" t="e">
        <f>#REF!-#REF!</f>
        <v>#REF!</v>
      </c>
    </row>
    <row r="256" spans="1:48" s="470" customFormat="1" ht="25.5" customHeight="1" outlineLevel="2">
      <c r="A256" s="463" t="s">
        <v>4454</v>
      </c>
      <c r="B256" s="485"/>
      <c r="C256" s="472" t="s">
        <v>4578</v>
      </c>
      <c r="D256" s="463" t="s">
        <v>4454</v>
      </c>
      <c r="E256" s="473"/>
      <c r="F256" s="474" t="s">
        <v>5602</v>
      </c>
      <c r="G256" s="475"/>
      <c r="H256" s="486"/>
      <c r="I256" s="476"/>
      <c r="J256" s="477"/>
      <c r="K256" s="437"/>
      <c r="L256" s="487"/>
      <c r="M256" s="464" t="s">
        <v>13</v>
      </c>
      <c r="N256" s="488"/>
      <c r="O256" s="280">
        <v>0</v>
      </c>
      <c r="P256" s="465"/>
      <c r="Q256" s="263">
        <f t="shared" si="104"/>
        <v>0</v>
      </c>
      <c r="R256" s="278"/>
      <c r="S256" s="279"/>
      <c r="T256" s="466"/>
      <c r="U256" s="544">
        <v>0</v>
      </c>
      <c r="V256" s="61"/>
      <c r="W256" s="68"/>
      <c r="X256" s="79"/>
      <c r="Y256" s="70"/>
      <c r="Z256" s="70"/>
      <c r="AA256" s="63">
        <f t="shared" si="105"/>
        <v>0</v>
      </c>
      <c r="AB256" s="72"/>
      <c r="AC256" s="267"/>
      <c r="AD256" s="545">
        <f t="shared" si="106"/>
        <v>0</v>
      </c>
      <c r="AE256" s="62"/>
      <c r="AF256" s="73"/>
      <c r="AG256" s="73"/>
      <c r="AH256" s="73"/>
      <c r="AI256" s="74"/>
      <c r="AJ256" s="75">
        <f t="shared" si="107"/>
        <v>0</v>
      </c>
      <c r="AK256" s="467"/>
      <c r="AL256" s="546"/>
      <c r="AM256" s="468" t="str">
        <f t="shared" si="109"/>
        <v/>
      </c>
      <c r="AN256" s="469" t="str">
        <f t="shared" si="110"/>
        <v/>
      </c>
      <c r="AO256" s="463" t="s">
        <v>4454</v>
      </c>
      <c r="AP256" s="463"/>
      <c r="AR256" s="63"/>
      <c r="AS256" s="64"/>
      <c r="AT256" s="65"/>
      <c r="AU256" s="66"/>
      <c r="AV256" s="67" t="e">
        <f>#REF!-#REF!</f>
        <v>#REF!</v>
      </c>
    </row>
    <row r="257" spans="1:48" s="470" customFormat="1" ht="25.5" customHeight="1" outlineLevel="2" thickBot="1">
      <c r="A257" s="463">
        <v>1771</v>
      </c>
      <c r="B257" s="608" t="s">
        <v>4500</v>
      </c>
      <c r="C257" s="472">
        <v>71</v>
      </c>
      <c r="D257" s="463">
        <v>1771</v>
      </c>
      <c r="E257" s="723" t="s">
        <v>4512</v>
      </c>
      <c r="F257" s="474" t="s">
        <v>5602</v>
      </c>
      <c r="G257" s="475"/>
      <c r="H257" s="726" t="s">
        <v>5625</v>
      </c>
      <c r="I257" s="476">
        <v>17</v>
      </c>
      <c r="J257" s="477" t="s">
        <v>4578</v>
      </c>
      <c r="K257" s="537"/>
      <c r="L257" s="487"/>
      <c r="M257" s="464" t="s">
        <v>13</v>
      </c>
      <c r="N257" s="488"/>
      <c r="O257" s="280">
        <v>0</v>
      </c>
      <c r="P257" s="465"/>
      <c r="Q257" s="263">
        <f t="shared" si="104"/>
        <v>0</v>
      </c>
      <c r="R257" s="278"/>
      <c r="S257" s="279"/>
      <c r="T257" s="466"/>
      <c r="U257" s="561">
        <v>0</v>
      </c>
      <c r="V257" s="61"/>
      <c r="W257" s="68"/>
      <c r="X257" s="79">
        <v>43200</v>
      </c>
      <c r="Y257" s="141"/>
      <c r="Z257" s="70"/>
      <c r="AA257" s="71">
        <f t="shared" si="105"/>
        <v>0</v>
      </c>
      <c r="AB257" s="72">
        <f>SUM(AE257:AI257)</f>
        <v>0</v>
      </c>
      <c r="AC257" s="267"/>
      <c r="AD257" s="545">
        <f t="shared" si="106"/>
        <v>0</v>
      </c>
      <c r="AE257" s="62"/>
      <c r="AF257" s="73"/>
      <c r="AG257" s="73"/>
      <c r="AH257" s="73"/>
      <c r="AI257" s="74"/>
      <c r="AJ257" s="75">
        <f t="shared" si="107"/>
        <v>0</v>
      </c>
      <c r="AK257" s="467"/>
      <c r="AL257" s="546"/>
      <c r="AM257" s="468" t="str">
        <f t="shared" si="109"/>
        <v>1771</v>
      </c>
      <c r="AN257" s="469" t="str">
        <f t="shared" si="110"/>
        <v>1771</v>
      </c>
      <c r="AO257" s="463">
        <v>1771</v>
      </c>
      <c r="AP257" s="463"/>
      <c r="AR257" s="71"/>
      <c r="AS257" s="64"/>
      <c r="AT257" s="65"/>
      <c r="AU257" s="66"/>
      <c r="AV257" s="67" t="e">
        <f>#REF!-#REF!</f>
        <v>#REF!</v>
      </c>
    </row>
    <row r="258" spans="1:48" ht="25.5" customHeight="1" outlineLevel="1" thickBot="1">
      <c r="A258" s="291" t="s">
        <v>4454</v>
      </c>
      <c r="B258" s="507"/>
      <c r="C258" s="508">
        <v>71</v>
      </c>
      <c r="D258" s="291" t="s">
        <v>4454</v>
      </c>
      <c r="E258" s="509"/>
      <c r="F258" s="510" t="s">
        <v>5626</v>
      </c>
      <c r="G258" s="511"/>
      <c r="H258" s="512"/>
      <c r="I258" s="513"/>
      <c r="J258" s="514"/>
      <c r="K258" s="515"/>
      <c r="L258" s="516"/>
      <c r="M258" s="517"/>
      <c r="N258" s="518"/>
      <c r="O258" s="519">
        <v>2050000</v>
      </c>
      <c r="P258" s="520">
        <f>SUM(P232:P257)</f>
        <v>2800000</v>
      </c>
      <c r="Q258" s="521">
        <f>SUBTOTAL(9,Q232:Q257)</f>
        <v>2050000</v>
      </c>
      <c r="R258" s="522">
        <f>SUBTOTAL(9,R232:R257)</f>
        <v>0</v>
      </c>
      <c r="S258" s="523">
        <f>SUBTOTAL(9,S232:S257)</f>
        <v>2050000</v>
      </c>
      <c r="T258" s="524">
        <v>2800000</v>
      </c>
      <c r="U258" s="620">
        <v>2350000</v>
      </c>
      <c r="V258" s="94"/>
      <c r="W258" s="95"/>
      <c r="X258" s="97"/>
      <c r="Y258" s="97"/>
      <c r="Z258" s="97"/>
      <c r="AA258" s="106">
        <f>SUBTOTAL(9,AA232:AA257)</f>
        <v>2050000</v>
      </c>
      <c r="AB258" s="99">
        <f>SUBTOTAL(9,AB232:AB257)</f>
        <v>2050000</v>
      </c>
      <c r="AC258" s="273"/>
      <c r="AD258" s="526">
        <f t="shared" ref="AD258:AD289" si="113">SUM(AE258:AJ258)</f>
        <v>2050000</v>
      </c>
      <c r="AE258" s="100">
        <f t="shared" ref="AE258:AK258" si="114">SUBTOTAL(9,AE232:AE257)</f>
        <v>0</v>
      </c>
      <c r="AF258" s="101">
        <f t="shared" si="114"/>
        <v>0</v>
      </c>
      <c r="AG258" s="101">
        <f t="shared" si="114"/>
        <v>0</v>
      </c>
      <c r="AH258" s="101">
        <f t="shared" si="114"/>
        <v>0</v>
      </c>
      <c r="AI258" s="102">
        <f t="shared" si="114"/>
        <v>0</v>
      </c>
      <c r="AJ258" s="103">
        <f t="shared" si="114"/>
        <v>2050000</v>
      </c>
      <c r="AK258" s="527">
        <f t="shared" si="114"/>
        <v>0</v>
      </c>
      <c r="AL258" s="550">
        <f>Q231+Q258</f>
        <v>3300000</v>
      </c>
      <c r="AM258" s="308" t="str">
        <f t="shared" si="109"/>
        <v/>
      </c>
      <c r="AN258" s="369" t="str">
        <f t="shared" si="110"/>
        <v/>
      </c>
      <c r="AO258" s="291" t="s">
        <v>4454</v>
      </c>
      <c r="AR258" s="106">
        <f>SUBTOTAL(9,AR232:AR257)</f>
        <v>1000000</v>
      </c>
      <c r="AS258" s="107"/>
      <c r="AT258" s="108">
        <f>SUBTOTAL(9,AT232:AT257)</f>
        <v>2374000</v>
      </c>
      <c r="AU258" s="109"/>
      <c r="AV258" s="110" t="e">
        <f>SUBTOTAL(9,AV232:AV257)</f>
        <v>#REF!</v>
      </c>
    </row>
    <row r="259" spans="1:48" ht="25.5" customHeight="1" outlineLevel="1" thickBot="1">
      <c r="B259" s="507"/>
      <c r="C259" s="508"/>
      <c r="E259" s="794"/>
      <c r="F259" s="510"/>
      <c r="G259" s="517"/>
      <c r="H259" s="512"/>
      <c r="I259" s="513"/>
      <c r="J259" s="514"/>
      <c r="K259" s="515"/>
      <c r="L259" s="516"/>
      <c r="M259" s="517"/>
      <c r="N259" s="518"/>
      <c r="O259" s="519"/>
      <c r="P259" s="520"/>
      <c r="Q259" s="521"/>
      <c r="R259" s="795"/>
      <c r="S259" s="523"/>
      <c r="T259" s="524"/>
      <c r="U259" s="620"/>
      <c r="V259" s="95"/>
      <c r="W259" s="105"/>
      <c r="X259" s="796"/>
      <c r="Y259" s="97"/>
      <c r="Z259" s="797"/>
      <c r="AA259" s="798"/>
      <c r="AB259" s="99"/>
      <c r="AC259" s="273"/>
      <c r="AD259" s="526"/>
      <c r="AE259" s="100"/>
      <c r="AF259" s="101"/>
      <c r="AG259" s="101"/>
      <c r="AH259" s="101"/>
      <c r="AI259" s="799"/>
      <c r="AJ259" s="800"/>
      <c r="AK259" s="527"/>
      <c r="AL259" s="663"/>
      <c r="AM259" s="308"/>
      <c r="AN259" s="369"/>
      <c r="AR259" s="197"/>
      <c r="AS259" s="801"/>
      <c r="AT259" s="802"/>
      <c r="AU259" s="803"/>
      <c r="AV259" s="804"/>
    </row>
    <row r="260" spans="1:48" ht="20.25" customHeight="1" outlineLevel="1" thickBot="1">
      <c r="B260" s="507"/>
      <c r="C260" s="508"/>
      <c r="E260" s="805" t="s">
        <v>4588</v>
      </c>
      <c r="F260" s="510"/>
      <c r="G260" s="512"/>
      <c r="H260" s="512"/>
      <c r="I260" s="513"/>
      <c r="J260" s="514"/>
      <c r="K260" s="515"/>
      <c r="L260" s="806"/>
      <c r="M260" s="512"/>
      <c r="N260" s="512"/>
      <c r="O260" s="519">
        <f>SUM(O32,O50,O54,O72,O79,O90,O96,O104,O110,O118,O125,O134,O156,O161,O169,O176,O193,O199,O202,O223,O231,O258)</f>
        <v>82206000</v>
      </c>
      <c r="P260" s="807"/>
      <c r="Q260" s="521">
        <f>SUM(Q32,Q50,Q54,Q72,Q79,Q90,Q96,Q104,Q110,Q118,Q125,Q134,Q156,Q161,Q169,Q176,Q193,Q199,Q202,Q223,Q231,Q258)</f>
        <v>98731000</v>
      </c>
      <c r="R260" s="808">
        <f>SUM(R32,R50,R54,R72,R79,R90,R96,R104,R110,R118,R125,R134,R156,R161,R169,R176,R193,R199,R202,R223,R231,R258)</f>
        <v>16744000</v>
      </c>
      <c r="S260" s="809">
        <f>SUM(S32,S50,S54,S72,S79,S90,S96,S104,S110,S118,S125,S134,S156,S161,S169,S176,S193,S199,S202,S223,S231,S258)</f>
        <v>71749000</v>
      </c>
      <c r="T260" s="524"/>
      <c r="U260" s="620">
        <v>82757000</v>
      </c>
      <c r="V260" s="95">
        <f>SUM(V32,V50,V54,V72,V79,V90,V96,V104,V110,V118,V125,V134,V156,V161,V169,V176,V193,V199,V202,V223,V258)</f>
        <v>0</v>
      </c>
      <c r="W260" s="105">
        <f>SUM(W32,W50,W54,W72,W79,W90,W96,W104,W110,W118,W125,W134,W156,W161,W169,W176,W193,W199,W202,W223,W258)</f>
        <v>0</v>
      </c>
      <c r="X260" s="796"/>
      <c r="Y260" s="97"/>
      <c r="Z260" s="797"/>
      <c r="AA260" s="110">
        <f>SUM(AA32,AA50,AA54,AA72,AA79,AA90,AA96,AA104,AA110,AA118,AA125,AA134,AA156,AA161,AA169,AA176,AA193,AA199,AA202,AA223,AA231,AA258)</f>
        <v>127506000</v>
      </c>
      <c r="AB260" s="99">
        <f>SUM(AB32,AB50,AB54,AB72,AB79,AB90,AB96,AB104,AB110,AB118,AB125,AB134,AB156,AB161,AB169,AB176,AB193,AB199,AB202,AB223,AB231,AB258)</f>
        <v>126782000</v>
      </c>
      <c r="AC260" s="273"/>
      <c r="AD260" s="810">
        <f t="shared" si="113"/>
        <v>133752000</v>
      </c>
      <c r="AE260" s="100">
        <f t="shared" ref="AE260:AK260" si="115">SUM(AE32,AE50,AE54,AE72,AE79,AE90,AE96,AE104,AE110,AE118,AE125,AE134,AE156,AE161,AE169,AE176,AE193,AE199,AE202,AE223,AE231,AE258)</f>
        <v>38627000</v>
      </c>
      <c r="AF260" s="101">
        <f t="shared" si="115"/>
        <v>4300000</v>
      </c>
      <c r="AG260" s="101">
        <f t="shared" si="115"/>
        <v>1000000</v>
      </c>
      <c r="AH260" s="101">
        <f t="shared" si="115"/>
        <v>900000</v>
      </c>
      <c r="AI260" s="799">
        <f t="shared" si="115"/>
        <v>12326000</v>
      </c>
      <c r="AJ260" s="811">
        <f t="shared" si="115"/>
        <v>76599000</v>
      </c>
      <c r="AK260" s="527">
        <f t="shared" si="115"/>
        <v>5311000</v>
      </c>
      <c r="AL260" s="663"/>
      <c r="AM260" s="308"/>
      <c r="AN260" s="369"/>
      <c r="AR260" s="193" t="e">
        <f>SUM(AR32,AR50,AR54,AR72,AR79,AR90,AR96,AR104,AR110,AR118,AR125,AR134,AR156,AR161,AR169,AR199,AR223,AR258)</f>
        <v>#REF!</v>
      </c>
      <c r="AS260" s="194"/>
      <c r="AT260" s="195"/>
      <c r="AU260" s="196"/>
      <c r="AV260" s="192" t="e">
        <f>SUM(AV32,AV50,AV54,AV72,AV79,AV90,AV96,AV104,AV110,AV118,AV125,AV134,AV156,AV161,AV169,AV199,AV223,AV258)</f>
        <v>#REF!</v>
      </c>
    </row>
    <row r="261" spans="1:48" ht="15.75" customHeight="1" outlineLevel="2">
      <c r="A261" s="291">
        <v>1191</v>
      </c>
      <c r="B261" s="812" t="s">
        <v>4500</v>
      </c>
      <c r="C261" s="530">
        <v>99</v>
      </c>
      <c r="D261" s="291">
        <v>1191</v>
      </c>
      <c r="E261" s="813" t="s">
        <v>4590</v>
      </c>
      <c r="F261" s="532" t="s">
        <v>4589</v>
      </c>
      <c r="G261" s="533"/>
      <c r="H261" s="814" t="s">
        <v>5627</v>
      </c>
      <c r="I261" s="535">
        <v>11</v>
      </c>
      <c r="J261" s="536" t="s">
        <v>4592</v>
      </c>
      <c r="K261" s="693"/>
      <c r="L261" s="567"/>
      <c r="M261" s="717"/>
      <c r="N261" s="568"/>
      <c r="O261" s="697">
        <v>0</v>
      </c>
      <c r="P261" s="698"/>
      <c r="Q261" s="699">
        <f>R261+S261</f>
        <v>5000000</v>
      </c>
      <c r="R261" s="538"/>
      <c r="S261" s="539">
        <v>5000000</v>
      </c>
      <c r="T261" s="702"/>
      <c r="U261" s="672">
        <v>5000000</v>
      </c>
      <c r="V261" s="113"/>
      <c r="W261" s="113"/>
      <c r="X261" s="139"/>
      <c r="Y261" s="188"/>
      <c r="Z261" s="115"/>
      <c r="AA261" s="116">
        <f t="shared" ref="AA261:AA287" si="116">Q261+AB261-AJ261</f>
        <v>5000000</v>
      </c>
      <c r="AB261" s="117">
        <f>SUM(AE261:AI261)+AJ261</f>
        <v>5000000</v>
      </c>
      <c r="AC261" s="274"/>
      <c r="AD261" s="719">
        <f t="shared" si="113"/>
        <v>5000000</v>
      </c>
      <c r="AE261" s="118"/>
      <c r="AF261" s="119"/>
      <c r="AG261" s="119"/>
      <c r="AH261" s="119"/>
      <c r="AI261" s="120"/>
      <c r="AJ261" s="140">
        <v>5000000</v>
      </c>
      <c r="AK261" s="540"/>
      <c r="AL261" s="815" t="s">
        <v>5628</v>
      </c>
      <c r="AM261" s="308" t="str">
        <f t="shared" ref="AM261:AM292" si="117">I261&amp;J261</f>
        <v>1191</v>
      </c>
      <c r="AN261" s="369" t="str">
        <f t="shared" ref="AN261:AN303" si="118">I261&amp;J261</f>
        <v>1191</v>
      </c>
      <c r="AO261" s="291">
        <v>1191</v>
      </c>
      <c r="AR261" s="47">
        <f>U265+AB261</f>
        <v>48200000</v>
      </c>
      <c r="AS261" s="54"/>
      <c r="AT261" s="55"/>
      <c r="AU261" s="56"/>
      <c r="AV261" s="57" t="e">
        <f>#REF!-#REF!</f>
        <v>#REF!</v>
      </c>
    </row>
    <row r="262" spans="1:48" ht="17.25" customHeight="1" outlineLevel="2">
      <c r="A262" s="291">
        <v>11</v>
      </c>
      <c r="B262" s="816" t="s">
        <v>4500</v>
      </c>
      <c r="C262" s="551">
        <v>99</v>
      </c>
      <c r="D262" s="291">
        <v>11</v>
      </c>
      <c r="E262" s="817" t="s">
        <v>4590</v>
      </c>
      <c r="F262" s="340" t="s">
        <v>4589</v>
      </c>
      <c r="G262" s="341"/>
      <c r="H262" s="342" t="s">
        <v>5629</v>
      </c>
      <c r="I262" s="343">
        <v>11</v>
      </c>
      <c r="J262" s="344"/>
      <c r="K262" s="537"/>
      <c r="L262" s="346"/>
      <c r="M262" s="347"/>
      <c r="N262" s="438"/>
      <c r="O262" s="349">
        <v>200000</v>
      </c>
      <c r="P262" s="555"/>
      <c r="Q262" s="351">
        <f>R262+S262</f>
        <v>150000</v>
      </c>
      <c r="R262" s="352">
        <v>150000</v>
      </c>
      <c r="S262" s="353"/>
      <c r="T262" s="556"/>
      <c r="U262" s="544">
        <v>100000</v>
      </c>
      <c r="V262" s="611"/>
      <c r="W262" s="44"/>
      <c r="X262" s="173"/>
      <c r="Y262" s="750"/>
      <c r="Z262" s="557"/>
      <c r="AA262" s="198">
        <f t="shared" si="116"/>
        <v>150000</v>
      </c>
      <c r="AB262" s="48">
        <f>SUM(AE262:AI262)+AJ262</f>
        <v>0</v>
      </c>
      <c r="AC262" s="265"/>
      <c r="AD262" s="362">
        <f t="shared" si="113"/>
        <v>0</v>
      </c>
      <c r="AE262" s="202"/>
      <c r="AF262" s="203"/>
      <c r="AG262" s="203"/>
      <c r="AH262" s="203"/>
      <c r="AI262" s="204"/>
      <c r="AJ262" s="143"/>
      <c r="AK262" s="558"/>
      <c r="AL262" s="368"/>
      <c r="AM262" s="308" t="str">
        <f t="shared" si="117"/>
        <v>11</v>
      </c>
      <c r="AN262" s="369" t="str">
        <f t="shared" si="118"/>
        <v>11</v>
      </c>
      <c r="AO262" s="291">
        <v>11</v>
      </c>
      <c r="AR262" s="47">
        <f>U266+AB262</f>
        <v>-2000000</v>
      </c>
      <c r="AS262" s="54"/>
      <c r="AT262" s="55"/>
      <c r="AU262" s="56"/>
      <c r="AV262" s="57" t="e">
        <f>#REF!-#REF!</f>
        <v>#REF!</v>
      </c>
    </row>
    <row r="263" spans="1:48" ht="16.5" customHeight="1" outlineLevel="2">
      <c r="A263" s="291">
        <v>1211</v>
      </c>
      <c r="B263" s="818" t="s">
        <v>4500</v>
      </c>
      <c r="C263" s="458">
        <v>99</v>
      </c>
      <c r="D263" s="291">
        <v>1211</v>
      </c>
      <c r="E263" s="407" t="s">
        <v>4518</v>
      </c>
      <c r="F263" s="428" t="s">
        <v>4589</v>
      </c>
      <c r="G263" s="409"/>
      <c r="H263" s="429" t="s">
        <v>5630</v>
      </c>
      <c r="I263" s="411">
        <v>12</v>
      </c>
      <c r="J263" s="459" t="s">
        <v>4504</v>
      </c>
      <c r="K263" s="437"/>
      <c r="L263" s="413"/>
      <c r="M263" s="414"/>
      <c r="N263" s="415"/>
      <c r="O263" s="280">
        <v>-1400000</v>
      </c>
      <c r="P263" s="465"/>
      <c r="Q263" s="263">
        <f>R263+S263-AB263</f>
        <v>-1600000</v>
      </c>
      <c r="R263" s="284">
        <v>0</v>
      </c>
      <c r="S263" s="285"/>
      <c r="T263" s="466"/>
      <c r="U263" s="544">
        <v>1300000</v>
      </c>
      <c r="V263" s="43"/>
      <c r="W263" s="44"/>
      <c r="X263" s="45"/>
      <c r="Y263" s="46"/>
      <c r="Z263" s="46"/>
      <c r="AA263" s="47">
        <f t="shared" si="116"/>
        <v>0</v>
      </c>
      <c r="AB263" s="48">
        <f>SUM(AE263:AI263)</f>
        <v>1600000</v>
      </c>
      <c r="AC263" s="265"/>
      <c r="AD263" s="424">
        <f t="shared" si="113"/>
        <v>1600000</v>
      </c>
      <c r="AE263" s="49">
        <v>1600000</v>
      </c>
      <c r="AF263" s="50"/>
      <c r="AG263" s="50"/>
      <c r="AH263" s="50"/>
      <c r="AI263" s="51"/>
      <c r="AJ263" s="52"/>
      <c r="AK263" s="462"/>
      <c r="AL263" s="442" t="s">
        <v>4591</v>
      </c>
      <c r="AM263" s="308" t="str">
        <f t="shared" si="117"/>
        <v>1211</v>
      </c>
      <c r="AN263" s="369" t="str">
        <f t="shared" si="118"/>
        <v>1211</v>
      </c>
      <c r="AO263" s="291">
        <v>1211</v>
      </c>
      <c r="AR263" s="47">
        <f>AB263+U267</f>
        <v>800000</v>
      </c>
      <c r="AS263" s="54"/>
      <c r="AT263" s="55"/>
      <c r="AU263" s="56"/>
      <c r="AV263" s="57" t="e">
        <f>#REF!-#REF!</f>
        <v>#REF!</v>
      </c>
    </row>
    <row r="264" spans="1:48" ht="16.5" customHeight="1" outlineLevel="2">
      <c r="A264" s="291">
        <v>1212</v>
      </c>
      <c r="B264" s="818" t="s">
        <v>4500</v>
      </c>
      <c r="C264" s="458">
        <v>99</v>
      </c>
      <c r="D264" s="291">
        <v>1212</v>
      </c>
      <c r="E264" s="407" t="s">
        <v>4518</v>
      </c>
      <c r="F264" s="428" t="s">
        <v>4589</v>
      </c>
      <c r="G264" s="409"/>
      <c r="H264" s="429" t="s">
        <v>5631</v>
      </c>
      <c r="I264" s="411">
        <v>12</v>
      </c>
      <c r="J264" s="459" t="s">
        <v>4515</v>
      </c>
      <c r="K264" s="437"/>
      <c r="L264" s="413"/>
      <c r="M264" s="414"/>
      <c r="N264" s="415"/>
      <c r="O264" s="280">
        <v>-1000000</v>
      </c>
      <c r="P264" s="465"/>
      <c r="Q264" s="263">
        <f>R264+S264-AB264</f>
        <v>-480000</v>
      </c>
      <c r="R264" s="284">
        <v>0</v>
      </c>
      <c r="S264" s="285"/>
      <c r="T264" s="466"/>
      <c r="U264" s="544">
        <v>240000</v>
      </c>
      <c r="V264" s="43"/>
      <c r="W264" s="44"/>
      <c r="X264" s="45"/>
      <c r="Y264" s="46"/>
      <c r="Z264" s="46"/>
      <c r="AA264" s="47">
        <f t="shared" si="116"/>
        <v>0</v>
      </c>
      <c r="AB264" s="48">
        <f>SUM(AE264:AI264)</f>
        <v>480000</v>
      </c>
      <c r="AC264" s="265"/>
      <c r="AD264" s="424">
        <f t="shared" si="113"/>
        <v>480000</v>
      </c>
      <c r="AE264" s="49">
        <v>480000</v>
      </c>
      <c r="AF264" s="50"/>
      <c r="AG264" s="50"/>
      <c r="AH264" s="50"/>
      <c r="AI264" s="51"/>
      <c r="AJ264" s="52"/>
      <c r="AK264" s="462"/>
      <c r="AL264" s="442" t="s">
        <v>4591</v>
      </c>
      <c r="AM264" s="308" t="str">
        <f t="shared" si="117"/>
        <v>1212</v>
      </c>
      <c r="AN264" s="369" t="str">
        <f t="shared" si="118"/>
        <v>1212</v>
      </c>
      <c r="AO264" s="291">
        <v>1212</v>
      </c>
      <c r="AR264" s="47">
        <f>AB264+U268</f>
        <v>-120000</v>
      </c>
      <c r="AS264" s="54"/>
      <c r="AT264" s="55"/>
      <c r="AU264" s="56"/>
      <c r="AV264" s="57" t="e">
        <f>#REF!-#REF!</f>
        <v>#REF!</v>
      </c>
    </row>
    <row r="265" spans="1:48" ht="16.5" customHeight="1" outlineLevel="2">
      <c r="A265" s="291">
        <v>1213</v>
      </c>
      <c r="B265" s="818" t="s">
        <v>4500</v>
      </c>
      <c r="C265" s="458">
        <v>99</v>
      </c>
      <c r="D265" s="291">
        <v>1213</v>
      </c>
      <c r="E265" s="407" t="s">
        <v>4518</v>
      </c>
      <c r="F265" s="428" t="s">
        <v>4589</v>
      </c>
      <c r="G265" s="409"/>
      <c r="H265" s="429" t="s">
        <v>5632</v>
      </c>
      <c r="I265" s="411">
        <v>12</v>
      </c>
      <c r="J265" s="459" t="s">
        <v>4532</v>
      </c>
      <c r="K265" s="437"/>
      <c r="L265" s="413"/>
      <c r="M265" s="414"/>
      <c r="N265" s="415"/>
      <c r="O265" s="280">
        <v>-400000</v>
      </c>
      <c r="P265" s="465"/>
      <c r="Q265" s="263">
        <f>R265+S265-AB265</f>
        <v>-1260000</v>
      </c>
      <c r="R265" s="284">
        <v>0</v>
      </c>
      <c r="S265" s="285"/>
      <c r="T265" s="466"/>
      <c r="U265" s="544">
        <v>43200000</v>
      </c>
      <c r="V265" s="43"/>
      <c r="W265" s="44"/>
      <c r="X265" s="45"/>
      <c r="Y265" s="46"/>
      <c r="Z265" s="46"/>
      <c r="AA265" s="47">
        <f t="shared" si="116"/>
        <v>0</v>
      </c>
      <c r="AB265" s="48">
        <f>SUM(AE265:AI265)</f>
        <v>1260000</v>
      </c>
      <c r="AC265" s="265"/>
      <c r="AD265" s="424">
        <f t="shared" si="113"/>
        <v>1260000</v>
      </c>
      <c r="AE265" s="49">
        <v>1260000</v>
      </c>
      <c r="AF265" s="50"/>
      <c r="AG265" s="50"/>
      <c r="AH265" s="50"/>
      <c r="AI265" s="51"/>
      <c r="AJ265" s="52"/>
      <c r="AK265" s="462"/>
      <c r="AL265" s="442" t="s">
        <v>5633</v>
      </c>
      <c r="AM265" s="308" t="str">
        <f t="shared" si="117"/>
        <v>1213</v>
      </c>
      <c r="AN265" s="369" t="str">
        <f t="shared" si="118"/>
        <v>1213</v>
      </c>
      <c r="AO265" s="291">
        <v>1213</v>
      </c>
      <c r="AR265" s="47">
        <f>AB265+U269</f>
        <v>1510000</v>
      </c>
      <c r="AS265" s="54"/>
      <c r="AT265" s="55"/>
      <c r="AU265" s="56"/>
      <c r="AV265" s="57" t="e">
        <f>#REF!-#REF!</f>
        <v>#REF!</v>
      </c>
    </row>
    <row r="266" spans="1:48" ht="16.5" customHeight="1" outlineLevel="2">
      <c r="A266" s="291">
        <v>1291</v>
      </c>
      <c r="B266" s="818" t="s">
        <v>4500</v>
      </c>
      <c r="C266" s="458">
        <v>99</v>
      </c>
      <c r="D266" s="291">
        <v>1291</v>
      </c>
      <c r="E266" s="407" t="s">
        <v>4518</v>
      </c>
      <c r="F266" s="428" t="s">
        <v>4589</v>
      </c>
      <c r="G266" s="409"/>
      <c r="H266" s="819" t="s">
        <v>5634</v>
      </c>
      <c r="I266" s="411">
        <v>12</v>
      </c>
      <c r="J266" s="459" t="s">
        <v>4592</v>
      </c>
      <c r="K266" s="460">
        <v>34</v>
      </c>
      <c r="L266" s="413"/>
      <c r="M266" s="414"/>
      <c r="N266" s="415"/>
      <c r="O266" s="280">
        <v>1350000</v>
      </c>
      <c r="P266" s="465">
        <v>1466000</v>
      </c>
      <c r="Q266" s="263">
        <f>R266+S266</f>
        <v>1466000</v>
      </c>
      <c r="R266" s="284"/>
      <c r="S266" s="59">
        <v>1466000</v>
      </c>
      <c r="T266" s="466">
        <v>1466000</v>
      </c>
      <c r="U266" s="544">
        <v>-2000000</v>
      </c>
      <c r="V266" s="43"/>
      <c r="W266" s="44"/>
      <c r="X266" s="58" t="s">
        <v>4506</v>
      </c>
      <c r="Y266" s="46"/>
      <c r="Z266" s="46"/>
      <c r="AA266" s="47">
        <f t="shared" si="116"/>
        <v>1466000</v>
      </c>
      <c r="AB266" s="48">
        <f>SUM(AE266:AI266)+AJ266</f>
        <v>1466000</v>
      </c>
      <c r="AC266" s="265"/>
      <c r="AD266" s="424">
        <f t="shared" si="113"/>
        <v>1466000</v>
      </c>
      <c r="AE266" s="49"/>
      <c r="AF266" s="50"/>
      <c r="AG266" s="50"/>
      <c r="AH266" s="50"/>
      <c r="AI266" s="51"/>
      <c r="AJ266" s="52">
        <f>+S266</f>
        <v>1466000</v>
      </c>
      <c r="AK266" s="462"/>
      <c r="AL266" s="396" t="s">
        <v>5439</v>
      </c>
      <c r="AM266" s="308" t="str">
        <f t="shared" si="117"/>
        <v>1291</v>
      </c>
      <c r="AN266" s="369" t="str">
        <f t="shared" si="118"/>
        <v>1291</v>
      </c>
      <c r="AO266" s="291">
        <v>1291</v>
      </c>
      <c r="AR266" s="47">
        <f>U270</f>
        <v>2860000</v>
      </c>
      <c r="AS266" s="54"/>
      <c r="AT266" s="55">
        <v>0</v>
      </c>
      <c r="AU266" s="56"/>
      <c r="AV266" s="57" t="e">
        <f>#REF!-#REF!</f>
        <v>#REF!</v>
      </c>
    </row>
    <row r="267" spans="1:48" ht="16.5" customHeight="1" outlineLevel="2">
      <c r="A267" s="291">
        <v>1292</v>
      </c>
      <c r="B267" s="818" t="s">
        <v>4500</v>
      </c>
      <c r="C267" s="458">
        <v>99</v>
      </c>
      <c r="D267" s="291">
        <v>1292</v>
      </c>
      <c r="E267" s="407" t="s">
        <v>4518</v>
      </c>
      <c r="F267" s="428" t="s">
        <v>4589</v>
      </c>
      <c r="G267" s="409"/>
      <c r="H267" s="429" t="s">
        <v>5635</v>
      </c>
      <c r="I267" s="411">
        <v>12</v>
      </c>
      <c r="J267" s="459" t="s">
        <v>4593</v>
      </c>
      <c r="K267" s="437"/>
      <c r="L267" s="413"/>
      <c r="M267" s="414"/>
      <c r="N267" s="415"/>
      <c r="O267" s="280">
        <v>240000</v>
      </c>
      <c r="P267" s="465"/>
      <c r="Q267" s="263">
        <f>R267+S267</f>
        <v>240000</v>
      </c>
      <c r="R267" s="284">
        <v>240000</v>
      </c>
      <c r="S267" s="285"/>
      <c r="T267" s="466"/>
      <c r="U267" s="544">
        <v>-800000</v>
      </c>
      <c r="V267" s="44"/>
      <c r="W267" s="44"/>
      <c r="X267" s="58"/>
      <c r="Y267" s="128"/>
      <c r="Z267" s="46"/>
      <c r="AA267" s="47">
        <f t="shared" si="116"/>
        <v>240000</v>
      </c>
      <c r="AB267" s="48">
        <f>SUM(AE267:AI267)</f>
        <v>0</v>
      </c>
      <c r="AC267" s="265"/>
      <c r="AD267" s="424">
        <f t="shared" si="113"/>
        <v>0</v>
      </c>
      <c r="AE267" s="49"/>
      <c r="AF267" s="50"/>
      <c r="AG267" s="50"/>
      <c r="AH267" s="50"/>
      <c r="AI267" s="51"/>
      <c r="AJ267" s="52"/>
      <c r="AK267" s="462"/>
      <c r="AL267" s="442"/>
      <c r="AM267" s="308" t="str">
        <f t="shared" si="117"/>
        <v>1292</v>
      </c>
      <c r="AN267" s="369" t="str">
        <f t="shared" si="118"/>
        <v>1292</v>
      </c>
      <c r="AO267" s="291">
        <v>1292</v>
      </c>
      <c r="AR267" s="47">
        <f>U271+AB267</f>
        <v>0</v>
      </c>
      <c r="AS267" s="54"/>
      <c r="AT267" s="55">
        <v>42582000</v>
      </c>
      <c r="AU267" s="56"/>
      <c r="AV267" s="57" t="e">
        <f>#REF!-#REF!</f>
        <v>#REF!</v>
      </c>
    </row>
    <row r="268" spans="1:48" ht="16.5" customHeight="1" outlineLevel="2">
      <c r="A268" s="291">
        <v>1293</v>
      </c>
      <c r="B268" s="818" t="s">
        <v>4500</v>
      </c>
      <c r="C268" s="458">
        <v>99</v>
      </c>
      <c r="D268" s="291">
        <v>1293</v>
      </c>
      <c r="E268" s="407" t="s">
        <v>4518</v>
      </c>
      <c r="F268" s="428" t="s">
        <v>4589</v>
      </c>
      <c r="G268" s="409"/>
      <c r="H268" s="429" t="s">
        <v>5636</v>
      </c>
      <c r="I268" s="411">
        <v>12</v>
      </c>
      <c r="J268" s="459" t="s">
        <v>4595</v>
      </c>
      <c r="K268" s="820"/>
      <c r="L268" s="413"/>
      <c r="M268" s="414"/>
      <c r="N268" s="415"/>
      <c r="O268" s="280">
        <v>43240000</v>
      </c>
      <c r="P268" s="465"/>
      <c r="Q268" s="263">
        <f>R268+S268</f>
        <v>41500000</v>
      </c>
      <c r="R268" s="284">
        <f>39885000+1615000</f>
        <v>41500000</v>
      </c>
      <c r="S268" s="285"/>
      <c r="T268" s="466"/>
      <c r="U268" s="544">
        <v>-600000</v>
      </c>
      <c r="V268" s="44"/>
      <c r="W268" s="44"/>
      <c r="X268" s="58"/>
      <c r="Y268" s="128"/>
      <c r="Z268" s="46"/>
      <c r="AA268" s="47">
        <f t="shared" si="116"/>
        <v>41500000</v>
      </c>
      <c r="AB268" s="48">
        <f>SUM(AE268:AH268)+AJ268</f>
        <v>53827000</v>
      </c>
      <c r="AC268" s="265"/>
      <c r="AD268" s="424">
        <f t="shared" si="113"/>
        <v>53827000</v>
      </c>
      <c r="AE268" s="49"/>
      <c r="AF268" s="50"/>
      <c r="AG268" s="50"/>
      <c r="AH268" s="50"/>
      <c r="AI268" s="199"/>
      <c r="AJ268" s="52">
        <f>R268+12327000</f>
        <v>53827000</v>
      </c>
      <c r="AK268" s="462"/>
      <c r="AL268" s="442" t="s">
        <v>4594</v>
      </c>
      <c r="AM268" s="308" t="str">
        <f t="shared" si="117"/>
        <v>1293</v>
      </c>
      <c r="AN268" s="369" t="str">
        <f t="shared" si="118"/>
        <v>1293</v>
      </c>
      <c r="AO268" s="291">
        <v>1293</v>
      </c>
      <c r="AR268" s="47">
        <f>U272</f>
        <v>814786</v>
      </c>
      <c r="AS268" s="54"/>
      <c r="AT268" s="55">
        <v>55501000</v>
      </c>
      <c r="AU268" s="56"/>
      <c r="AV268" s="57" t="e">
        <f>#REF!-#REF!</f>
        <v>#REF!</v>
      </c>
    </row>
    <row r="269" spans="1:48" ht="16.5" customHeight="1" outlineLevel="2">
      <c r="A269" s="291">
        <v>12</v>
      </c>
      <c r="B269" s="818" t="s">
        <v>4500</v>
      </c>
      <c r="C269" s="458">
        <v>99</v>
      </c>
      <c r="D269" s="291">
        <v>12</v>
      </c>
      <c r="E269" s="407" t="s">
        <v>4518</v>
      </c>
      <c r="F269" s="428" t="s">
        <v>4589</v>
      </c>
      <c r="G269" s="409"/>
      <c r="H269" s="429" t="s">
        <v>5629</v>
      </c>
      <c r="I269" s="411">
        <v>12</v>
      </c>
      <c r="J269" s="459"/>
      <c r="K269" s="437"/>
      <c r="L269" s="413"/>
      <c r="M269" s="414"/>
      <c r="N269" s="415"/>
      <c r="O269" s="280">
        <v>240000</v>
      </c>
      <c r="P269" s="465"/>
      <c r="Q269" s="263">
        <f>R269+S269</f>
        <v>330000</v>
      </c>
      <c r="R269" s="284">
        <v>330000</v>
      </c>
      <c r="S269" s="285"/>
      <c r="T269" s="466"/>
      <c r="U269" s="544">
        <v>250000</v>
      </c>
      <c r="V269" s="44"/>
      <c r="W269" s="44"/>
      <c r="X269" s="58"/>
      <c r="Y269" s="128"/>
      <c r="Z269" s="46"/>
      <c r="AA269" s="47">
        <f t="shared" si="116"/>
        <v>330000</v>
      </c>
      <c r="AB269" s="48">
        <f>SUM(AE269:AI269)</f>
        <v>0</v>
      </c>
      <c r="AC269" s="265"/>
      <c r="AD269" s="424">
        <f t="shared" si="113"/>
        <v>0</v>
      </c>
      <c r="AE269" s="49"/>
      <c r="AF269" s="50"/>
      <c r="AG269" s="50"/>
      <c r="AH269" s="50"/>
      <c r="AI269" s="51"/>
      <c r="AJ269" s="52"/>
      <c r="AK269" s="462"/>
      <c r="AL269" s="442"/>
      <c r="AM269" s="308" t="str">
        <f t="shared" si="117"/>
        <v>12</v>
      </c>
      <c r="AN269" s="369" t="str">
        <f t="shared" si="118"/>
        <v>12</v>
      </c>
      <c r="AO269" s="291">
        <v>12</v>
      </c>
      <c r="AR269" s="47">
        <f>U273+AB269</f>
        <v>860000</v>
      </c>
      <c r="AS269" s="54"/>
      <c r="AT269" s="55"/>
      <c r="AU269" s="56"/>
      <c r="AV269" s="57" t="e">
        <f>#REF!-#REF!</f>
        <v>#REF!</v>
      </c>
    </row>
    <row r="270" spans="1:48" ht="15.75" customHeight="1" outlineLevel="2">
      <c r="A270" s="291">
        <v>1391</v>
      </c>
      <c r="B270" s="818" t="s">
        <v>4500</v>
      </c>
      <c r="C270" s="458">
        <v>99</v>
      </c>
      <c r="D270" s="291">
        <v>1391</v>
      </c>
      <c r="E270" s="339" t="s">
        <v>4472</v>
      </c>
      <c r="F270" s="428" t="s">
        <v>4589</v>
      </c>
      <c r="G270" s="341"/>
      <c r="H270" s="552" t="s">
        <v>5637</v>
      </c>
      <c r="I270" s="343">
        <v>13</v>
      </c>
      <c r="J270" s="459" t="s">
        <v>4592</v>
      </c>
      <c r="K270" s="553">
        <v>80</v>
      </c>
      <c r="L270" s="346"/>
      <c r="M270" s="821"/>
      <c r="N270" s="438"/>
      <c r="O270" s="349">
        <v>2120000</v>
      </c>
      <c r="P270" s="555">
        <v>2860000</v>
      </c>
      <c r="Q270" s="263">
        <f>R270+S270</f>
        <v>2860000</v>
      </c>
      <c r="R270" s="352"/>
      <c r="S270" s="201">
        <v>2860000</v>
      </c>
      <c r="T270" s="466">
        <v>2860000</v>
      </c>
      <c r="U270" s="544">
        <v>2860000</v>
      </c>
      <c r="V270" s="43"/>
      <c r="W270" s="44"/>
      <c r="X270" s="58" t="s">
        <v>4506</v>
      </c>
      <c r="Y270" s="46"/>
      <c r="Z270" s="46"/>
      <c r="AA270" s="47">
        <f t="shared" si="116"/>
        <v>2860000</v>
      </c>
      <c r="AB270" s="48">
        <f>SUM(AE270:AI270)+AJ270</f>
        <v>2860000</v>
      </c>
      <c r="AC270" s="265"/>
      <c r="AD270" s="362">
        <f t="shared" si="113"/>
        <v>2860000</v>
      </c>
      <c r="AE270" s="202"/>
      <c r="AF270" s="203"/>
      <c r="AG270" s="203"/>
      <c r="AH270" s="203"/>
      <c r="AI270" s="204"/>
      <c r="AJ270" s="143">
        <f>+S270</f>
        <v>2860000</v>
      </c>
      <c r="AK270" s="558"/>
      <c r="AL270" s="396" t="s">
        <v>5439</v>
      </c>
      <c r="AM270" s="308" t="str">
        <f t="shared" si="117"/>
        <v>1391</v>
      </c>
      <c r="AN270" s="369" t="str">
        <f t="shared" si="118"/>
        <v>1391</v>
      </c>
      <c r="AO270" s="291">
        <v>1391</v>
      </c>
      <c r="AR270" s="47">
        <f>U274+AB270-AJ270</f>
        <v>-320000</v>
      </c>
      <c r="AS270" s="123"/>
      <c r="AT270" s="124"/>
      <c r="AU270" s="125"/>
      <c r="AV270" s="126" t="e">
        <f>#REF!-#REF!</f>
        <v>#REF!</v>
      </c>
    </row>
    <row r="271" spans="1:48" ht="16.5" hidden="1" customHeight="1" outlineLevel="2">
      <c r="A271" s="291" t="s">
        <v>4454</v>
      </c>
      <c r="B271" s="818" t="s">
        <v>4500</v>
      </c>
      <c r="C271" s="458">
        <v>99</v>
      </c>
      <c r="D271" s="291" t="s">
        <v>4454</v>
      </c>
      <c r="E271" s="407" t="s">
        <v>4472</v>
      </c>
      <c r="F271" s="428" t="s">
        <v>4589</v>
      </c>
      <c r="G271" s="409"/>
      <c r="H271" s="410" t="s">
        <v>5638</v>
      </c>
      <c r="I271" s="411"/>
      <c r="J271" s="822"/>
      <c r="K271" s="460"/>
      <c r="L271" s="413"/>
      <c r="M271" s="414"/>
      <c r="N271" s="415"/>
      <c r="O271" s="280">
        <v>720000</v>
      </c>
      <c r="P271" s="465"/>
      <c r="Q271" s="263"/>
      <c r="R271" s="284"/>
      <c r="S271" s="59"/>
      <c r="T271" s="466"/>
      <c r="U271" s="544"/>
      <c r="V271" s="43"/>
      <c r="W271" s="44"/>
      <c r="X271" s="58"/>
      <c r="Y271" s="46"/>
      <c r="Z271" s="46"/>
      <c r="AA271" s="129">
        <f t="shared" si="116"/>
        <v>0</v>
      </c>
      <c r="AB271" s="48">
        <f>SUM(AE271:AI271)+AJ271</f>
        <v>0</v>
      </c>
      <c r="AC271" s="265"/>
      <c r="AD271" s="424">
        <f t="shared" si="113"/>
        <v>0</v>
      </c>
      <c r="AE271" s="49"/>
      <c r="AF271" s="50"/>
      <c r="AG271" s="50"/>
      <c r="AH271" s="50"/>
      <c r="AI271" s="51"/>
      <c r="AJ271" s="143">
        <f>+S271</f>
        <v>0</v>
      </c>
      <c r="AK271" s="462"/>
      <c r="AL271" s="396"/>
      <c r="AM271" s="308" t="str">
        <f t="shared" si="117"/>
        <v/>
      </c>
      <c r="AN271" s="369" t="str">
        <f t="shared" si="118"/>
        <v/>
      </c>
      <c r="AO271" s="291" t="s">
        <v>4454</v>
      </c>
      <c r="AR271" s="129">
        <f>U275</f>
        <v>0</v>
      </c>
      <c r="AS271" s="54"/>
      <c r="AT271" s="55"/>
      <c r="AU271" s="56"/>
      <c r="AV271" s="57" t="e">
        <f>#REF!-#REF!</f>
        <v>#REF!</v>
      </c>
    </row>
    <row r="272" spans="1:48" ht="20.25" customHeight="1" outlineLevel="2">
      <c r="A272" s="291">
        <v>1491</v>
      </c>
      <c r="B272" s="818" t="s">
        <v>4500</v>
      </c>
      <c r="C272" s="458">
        <v>99</v>
      </c>
      <c r="D272" s="291">
        <v>1491</v>
      </c>
      <c r="E272" s="407" t="s">
        <v>4596</v>
      </c>
      <c r="F272" s="428" t="s">
        <v>4589</v>
      </c>
      <c r="G272" s="409"/>
      <c r="H272" s="410" t="s">
        <v>5639</v>
      </c>
      <c r="I272" s="411">
        <v>14</v>
      </c>
      <c r="J272" s="459" t="s">
        <v>4592</v>
      </c>
      <c r="K272" s="460">
        <v>81</v>
      </c>
      <c r="L272" s="413"/>
      <c r="M272" s="414"/>
      <c r="N272" s="415"/>
      <c r="O272" s="280">
        <v>814525</v>
      </c>
      <c r="P272" s="465">
        <v>814525</v>
      </c>
      <c r="Q272" s="263">
        <f>R272+S272</f>
        <v>800000</v>
      </c>
      <c r="R272" s="284">
        <v>200000</v>
      </c>
      <c r="S272" s="59">
        <v>600000</v>
      </c>
      <c r="T272" s="466"/>
      <c r="U272" s="544">
        <v>814786</v>
      </c>
      <c r="V272" s="43"/>
      <c r="W272" s="44"/>
      <c r="X272" s="58" t="s">
        <v>4506</v>
      </c>
      <c r="Y272" s="46"/>
      <c r="Z272" s="46"/>
      <c r="AA272" s="47">
        <f t="shared" si="116"/>
        <v>800000</v>
      </c>
      <c r="AB272" s="48">
        <f>SUM(AE272:AI272)+AJ272</f>
        <v>600000</v>
      </c>
      <c r="AC272" s="265"/>
      <c r="AD272" s="424">
        <f t="shared" si="113"/>
        <v>600000</v>
      </c>
      <c r="AE272" s="49"/>
      <c r="AF272" s="50"/>
      <c r="AG272" s="50"/>
      <c r="AH272" s="50"/>
      <c r="AI272" s="51"/>
      <c r="AJ272" s="143">
        <f>+S272</f>
        <v>600000</v>
      </c>
      <c r="AK272" s="462"/>
      <c r="AL272" s="396" t="s">
        <v>5456</v>
      </c>
      <c r="AM272" s="308" t="str">
        <f t="shared" si="117"/>
        <v>1491</v>
      </c>
      <c r="AN272" s="369" t="str">
        <f t="shared" si="118"/>
        <v>1491</v>
      </c>
      <c r="AO272" s="291">
        <v>1491</v>
      </c>
      <c r="AR272" s="47">
        <f>U285</f>
        <v>50000</v>
      </c>
      <c r="AS272" s="54"/>
      <c r="AT272" s="55"/>
      <c r="AU272" s="56"/>
      <c r="AV272" s="57" t="e">
        <f>#REF!-#REF!</f>
        <v>#REF!</v>
      </c>
    </row>
    <row r="273" spans="1:48" ht="20.25" customHeight="1" outlineLevel="2" thickBot="1">
      <c r="A273" s="291">
        <v>1492</v>
      </c>
      <c r="B273" s="818" t="s">
        <v>4500</v>
      </c>
      <c r="C273" s="458">
        <v>99</v>
      </c>
      <c r="D273" s="291">
        <v>1492</v>
      </c>
      <c r="E273" s="407" t="s">
        <v>4596</v>
      </c>
      <c r="F273" s="428" t="s">
        <v>4589</v>
      </c>
      <c r="G273" s="409"/>
      <c r="H273" s="410" t="s">
        <v>5640</v>
      </c>
      <c r="I273" s="411">
        <v>14</v>
      </c>
      <c r="J273" s="459" t="s">
        <v>4593</v>
      </c>
      <c r="K273" s="460">
        <v>82</v>
      </c>
      <c r="L273" s="413"/>
      <c r="M273" s="414"/>
      <c r="N273" s="415"/>
      <c r="O273" s="280">
        <v>3000000</v>
      </c>
      <c r="P273" s="465">
        <v>855000</v>
      </c>
      <c r="Q273" s="263">
        <f>R273+S273</f>
        <v>600000</v>
      </c>
      <c r="R273" s="284">
        <v>100000</v>
      </c>
      <c r="S273" s="59">
        <v>500000</v>
      </c>
      <c r="T273" s="466"/>
      <c r="U273" s="544">
        <v>860000</v>
      </c>
      <c r="V273" s="43"/>
      <c r="W273" s="44"/>
      <c r="X273" s="58" t="s">
        <v>4506</v>
      </c>
      <c r="Y273" s="46"/>
      <c r="Z273" s="46"/>
      <c r="AA273" s="47">
        <f t="shared" si="116"/>
        <v>600000</v>
      </c>
      <c r="AB273" s="48">
        <f>SUM(AE273:AI273)+AJ273</f>
        <v>500000</v>
      </c>
      <c r="AC273" s="265"/>
      <c r="AD273" s="424">
        <f t="shared" si="113"/>
        <v>500000</v>
      </c>
      <c r="AE273" s="49"/>
      <c r="AF273" s="50"/>
      <c r="AG273" s="50"/>
      <c r="AH273" s="50"/>
      <c r="AI273" s="51"/>
      <c r="AJ273" s="143">
        <f>+S273</f>
        <v>500000</v>
      </c>
      <c r="AK273" s="462"/>
      <c r="AL273" s="396" t="s">
        <v>5456</v>
      </c>
      <c r="AM273" s="308" t="str">
        <f t="shared" si="117"/>
        <v>1492</v>
      </c>
      <c r="AN273" s="369" t="str">
        <f t="shared" si="118"/>
        <v>1492</v>
      </c>
      <c r="AO273" s="291">
        <v>1492</v>
      </c>
      <c r="AR273" s="47">
        <f>U284</f>
        <v>150000</v>
      </c>
      <c r="AS273" s="54"/>
      <c r="AT273" s="55"/>
      <c r="AU273" s="56"/>
      <c r="AV273" s="57" t="e">
        <f>#REF!-#REF!</f>
        <v>#REF!</v>
      </c>
    </row>
    <row r="274" spans="1:48" s="829" customFormat="1" ht="20.25" customHeight="1" outlineLevel="2" thickBot="1">
      <c r="A274" s="823">
        <v>1493</v>
      </c>
      <c r="B274" s="818" t="s">
        <v>4500</v>
      </c>
      <c r="C274" s="458">
        <v>99</v>
      </c>
      <c r="D274" s="823">
        <v>1493</v>
      </c>
      <c r="E274" s="407" t="s">
        <v>4596</v>
      </c>
      <c r="F274" s="428" t="s">
        <v>4589</v>
      </c>
      <c r="G274" s="409"/>
      <c r="H274" s="429" t="s">
        <v>5641</v>
      </c>
      <c r="I274" s="411">
        <v>14</v>
      </c>
      <c r="J274" s="459" t="s">
        <v>4595</v>
      </c>
      <c r="K274" s="437"/>
      <c r="L274" s="413"/>
      <c r="M274" s="414"/>
      <c r="N274" s="824"/>
      <c r="O274" s="280">
        <v>-320000</v>
      </c>
      <c r="P274" s="465"/>
      <c r="Q274" s="263">
        <f>R274+S274-AB274</f>
        <v>-320000</v>
      </c>
      <c r="R274" s="284"/>
      <c r="S274" s="285"/>
      <c r="T274" s="466"/>
      <c r="U274" s="544">
        <v>-320000</v>
      </c>
      <c r="V274" s="44"/>
      <c r="W274" s="44"/>
      <c r="X274" s="58"/>
      <c r="Y274" s="128"/>
      <c r="Z274" s="46"/>
      <c r="AA274" s="47">
        <f>Q274+AB274-AJ274</f>
        <v>0</v>
      </c>
      <c r="AB274" s="48">
        <f>SUM(AE274:AI274)</f>
        <v>320000</v>
      </c>
      <c r="AC274" s="265"/>
      <c r="AD274" s="825">
        <f t="shared" si="113"/>
        <v>320000</v>
      </c>
      <c r="AE274" s="49"/>
      <c r="AF274" s="50"/>
      <c r="AG274" s="50"/>
      <c r="AH274" s="50"/>
      <c r="AI274" s="77">
        <v>320000</v>
      </c>
      <c r="AJ274" s="52"/>
      <c r="AK274" s="826"/>
      <c r="AL274" s="442"/>
      <c r="AM274" s="827" t="str">
        <f t="shared" si="117"/>
        <v>1493</v>
      </c>
      <c r="AN274" s="828" t="str">
        <f t="shared" si="118"/>
        <v>1493</v>
      </c>
      <c r="AO274" s="823">
        <v>1493</v>
      </c>
      <c r="AP274" s="823"/>
      <c r="AR274" s="47">
        <f>U323</f>
        <v>1000000</v>
      </c>
      <c r="AS274" s="207"/>
      <c r="AT274" s="208"/>
      <c r="AU274" s="56"/>
      <c r="AV274" s="209" t="e">
        <f>#REF!-#REF!</f>
        <v>#REF!</v>
      </c>
    </row>
    <row r="275" spans="1:48" ht="16.5" customHeight="1" outlineLevel="2">
      <c r="A275" s="291" t="s">
        <v>4454</v>
      </c>
      <c r="B275" s="830"/>
      <c r="C275" s="831">
        <v>99</v>
      </c>
      <c r="D275" s="291" t="s">
        <v>4454</v>
      </c>
      <c r="E275" s="832" t="s">
        <v>4553</v>
      </c>
      <c r="F275" s="833"/>
      <c r="G275" s="834"/>
      <c r="H275" s="835" t="s">
        <v>5642</v>
      </c>
      <c r="I275" s="836"/>
      <c r="J275" s="837"/>
      <c r="K275" s="838"/>
      <c r="L275" s="839"/>
      <c r="M275" s="840"/>
      <c r="N275" s="841"/>
      <c r="O275" s="842">
        <v>0</v>
      </c>
      <c r="P275" s="843"/>
      <c r="Q275" s="844">
        <f>R275+S275</f>
        <v>0</v>
      </c>
      <c r="R275" s="845"/>
      <c r="S275" s="846"/>
      <c r="T275" s="847"/>
      <c r="U275" s="848">
        <v>0</v>
      </c>
      <c r="V275" s="849"/>
      <c r="W275" s="850"/>
      <c r="X275" s="851"/>
      <c r="Y275" s="852"/>
      <c r="Z275" s="853"/>
      <c r="AA275" s="854">
        <f t="shared" si="116"/>
        <v>0</v>
      </c>
      <c r="AB275" s="855">
        <f>SUM(AE275:AI275)+AJ275</f>
        <v>0</v>
      </c>
      <c r="AC275" s="855"/>
      <c r="AD275" s="856">
        <f t="shared" si="113"/>
        <v>0</v>
      </c>
      <c r="AE275" s="857"/>
      <c r="AF275" s="858"/>
      <c r="AG275" s="858"/>
      <c r="AH275" s="858"/>
      <c r="AI275" s="859"/>
      <c r="AJ275" s="860"/>
      <c r="AK275" s="861"/>
      <c r="AL275" s="862"/>
      <c r="AM275" s="308" t="str">
        <f t="shared" si="117"/>
        <v/>
      </c>
      <c r="AN275" s="369" t="str">
        <f t="shared" si="118"/>
        <v/>
      </c>
      <c r="AO275" s="291" t="s">
        <v>4454</v>
      </c>
      <c r="AR275" s="47">
        <f>U286</f>
        <v>480000</v>
      </c>
      <c r="AS275" s="54"/>
      <c r="AT275" s="55"/>
      <c r="AU275" s="56"/>
      <c r="AV275" s="57" t="e">
        <f>#REF!-#REF!</f>
        <v>#REF!</v>
      </c>
    </row>
    <row r="276" spans="1:48" ht="16.5" customHeight="1" outlineLevel="2">
      <c r="A276" s="291">
        <v>1584</v>
      </c>
      <c r="B276" s="818" t="s">
        <v>4500</v>
      </c>
      <c r="C276" s="458">
        <v>99</v>
      </c>
      <c r="D276" s="291">
        <v>1584</v>
      </c>
      <c r="E276" s="863" t="s">
        <v>4553</v>
      </c>
      <c r="F276" s="428" t="s">
        <v>4589</v>
      </c>
      <c r="G276" s="409"/>
      <c r="H276" s="429" t="s">
        <v>5643</v>
      </c>
      <c r="I276" s="411">
        <v>15</v>
      </c>
      <c r="J276" s="459" t="s">
        <v>5644</v>
      </c>
      <c r="K276" s="437"/>
      <c r="L276" s="413"/>
      <c r="M276" s="414"/>
      <c r="N276" s="415"/>
      <c r="O276" s="280">
        <v>120000</v>
      </c>
      <c r="P276" s="465"/>
      <c r="Q276" s="263">
        <f t="shared" ref="Q276:Q293" si="119">R276+S276</f>
        <v>90000</v>
      </c>
      <c r="R276" s="284">
        <v>90000</v>
      </c>
      <c r="S276" s="285"/>
      <c r="T276" s="466"/>
      <c r="U276" s="544">
        <v>120000</v>
      </c>
      <c r="V276" s="43"/>
      <c r="W276" s="44"/>
      <c r="X276" s="45">
        <v>43200</v>
      </c>
      <c r="Y276" s="46"/>
      <c r="Z276" s="46"/>
      <c r="AA276" s="47">
        <f t="shared" si="116"/>
        <v>90000</v>
      </c>
      <c r="AB276" s="48">
        <f t="shared" ref="AB276:AB287" si="120">SUM(AE276:AI276)</f>
        <v>0</v>
      </c>
      <c r="AC276" s="265"/>
      <c r="AD276" s="424">
        <f t="shared" si="113"/>
        <v>0</v>
      </c>
      <c r="AE276" s="49"/>
      <c r="AF276" s="50"/>
      <c r="AG276" s="50"/>
      <c r="AH276" s="50"/>
      <c r="AI276" s="51"/>
      <c r="AJ276" s="52"/>
      <c r="AK276" s="462"/>
      <c r="AL276" s="864"/>
      <c r="AM276" s="308" t="str">
        <f t="shared" si="117"/>
        <v>1584</v>
      </c>
      <c r="AN276" s="369" t="str">
        <f t="shared" si="118"/>
        <v>1584</v>
      </c>
      <c r="AO276" s="291">
        <v>1584</v>
      </c>
      <c r="AR276" s="47">
        <f>U288+AB276</f>
        <v>0</v>
      </c>
      <c r="AS276" s="54"/>
      <c r="AT276" s="55"/>
      <c r="AU276" s="56"/>
      <c r="AV276" s="57" t="e">
        <f>#REF!-#REF!</f>
        <v>#REF!</v>
      </c>
    </row>
    <row r="277" spans="1:48" ht="16.5" customHeight="1" outlineLevel="2">
      <c r="A277" s="291">
        <v>1585</v>
      </c>
      <c r="B277" s="818" t="s">
        <v>4500</v>
      </c>
      <c r="C277" s="458">
        <v>99</v>
      </c>
      <c r="D277" s="291">
        <v>1585</v>
      </c>
      <c r="E277" s="863" t="s">
        <v>4553</v>
      </c>
      <c r="F277" s="428" t="s">
        <v>4589</v>
      </c>
      <c r="G277" s="409"/>
      <c r="H277" s="429" t="s">
        <v>5645</v>
      </c>
      <c r="I277" s="411">
        <v>15</v>
      </c>
      <c r="J277" s="459" t="s">
        <v>5646</v>
      </c>
      <c r="K277" s="437"/>
      <c r="L277" s="413"/>
      <c r="M277" s="414"/>
      <c r="N277" s="415"/>
      <c r="O277" s="280">
        <v>500000</v>
      </c>
      <c r="P277" s="465"/>
      <c r="Q277" s="263">
        <f t="shared" si="119"/>
        <v>500000</v>
      </c>
      <c r="R277" s="284">
        <v>500000</v>
      </c>
      <c r="S277" s="285"/>
      <c r="T277" s="466"/>
      <c r="U277" s="544">
        <v>500000</v>
      </c>
      <c r="V277" s="43"/>
      <c r="W277" s="44"/>
      <c r="X277" s="45">
        <v>43200</v>
      </c>
      <c r="Y277" s="46"/>
      <c r="Z277" s="46"/>
      <c r="AA277" s="47">
        <f t="shared" si="116"/>
        <v>500000</v>
      </c>
      <c r="AB277" s="48">
        <f t="shared" si="120"/>
        <v>0</v>
      </c>
      <c r="AC277" s="265"/>
      <c r="AD277" s="424">
        <f t="shared" si="113"/>
        <v>0</v>
      </c>
      <c r="AE277" s="49"/>
      <c r="AF277" s="50"/>
      <c r="AG277" s="50"/>
      <c r="AH277" s="50"/>
      <c r="AI277" s="51"/>
      <c r="AJ277" s="52"/>
      <c r="AK277" s="462"/>
      <c r="AL277" s="864"/>
      <c r="AM277" s="308" t="str">
        <f t="shared" si="117"/>
        <v>1585</v>
      </c>
      <c r="AN277" s="369" t="str">
        <f t="shared" si="118"/>
        <v>1585</v>
      </c>
      <c r="AO277" s="291">
        <v>1585</v>
      </c>
      <c r="AR277" s="47">
        <f>U289+AB277</f>
        <v>3000000</v>
      </c>
      <c r="AS277" s="54"/>
      <c r="AT277" s="55"/>
      <c r="AU277" s="56"/>
      <c r="AV277" s="57" t="e">
        <f>#REF!-#REF!</f>
        <v>#REF!</v>
      </c>
    </row>
    <row r="278" spans="1:48" ht="16.5" customHeight="1" outlineLevel="2">
      <c r="A278" s="291">
        <v>1586</v>
      </c>
      <c r="B278" s="818" t="s">
        <v>4500</v>
      </c>
      <c r="C278" s="458">
        <v>99</v>
      </c>
      <c r="D278" s="291">
        <v>1586</v>
      </c>
      <c r="E278" s="863" t="s">
        <v>4553</v>
      </c>
      <c r="F278" s="428" t="s">
        <v>4589</v>
      </c>
      <c r="G278" s="409"/>
      <c r="H278" s="429" t="s">
        <v>5647</v>
      </c>
      <c r="I278" s="411">
        <v>15</v>
      </c>
      <c r="J278" s="459" t="s">
        <v>5648</v>
      </c>
      <c r="K278" s="437"/>
      <c r="L278" s="413"/>
      <c r="M278" s="414"/>
      <c r="N278" s="415"/>
      <c r="O278" s="280">
        <v>100000</v>
      </c>
      <c r="P278" s="465"/>
      <c r="Q278" s="263">
        <f t="shared" si="119"/>
        <v>80000</v>
      </c>
      <c r="R278" s="284">
        <v>80000</v>
      </c>
      <c r="S278" s="285"/>
      <c r="T278" s="466"/>
      <c r="U278" s="544">
        <v>100000</v>
      </c>
      <c r="V278" s="43"/>
      <c r="W278" s="44"/>
      <c r="X278" s="45">
        <v>43200</v>
      </c>
      <c r="Y278" s="46"/>
      <c r="Z278" s="46"/>
      <c r="AA278" s="47">
        <f t="shared" si="116"/>
        <v>80000</v>
      </c>
      <c r="AB278" s="48">
        <f t="shared" si="120"/>
        <v>0</v>
      </c>
      <c r="AC278" s="265"/>
      <c r="AD278" s="424">
        <f t="shared" si="113"/>
        <v>0</v>
      </c>
      <c r="AE278" s="49"/>
      <c r="AF278" s="50"/>
      <c r="AG278" s="50"/>
      <c r="AH278" s="50"/>
      <c r="AI278" s="51"/>
      <c r="AJ278" s="52"/>
      <c r="AK278" s="462"/>
      <c r="AL278" s="864"/>
      <c r="AM278" s="308" t="str">
        <f t="shared" si="117"/>
        <v>1586</v>
      </c>
      <c r="AN278" s="369" t="str">
        <f t="shared" si="118"/>
        <v>1586</v>
      </c>
      <c r="AO278" s="291">
        <v>1586</v>
      </c>
      <c r="AR278" s="47" t="e">
        <f>#REF!+AB278</f>
        <v>#REF!</v>
      </c>
      <c r="AS278" s="54"/>
      <c r="AT278" s="55"/>
      <c r="AU278" s="56"/>
      <c r="AV278" s="57" t="e">
        <f>#REF!-#REF!</f>
        <v>#REF!</v>
      </c>
    </row>
    <row r="279" spans="1:48" ht="16.5" customHeight="1" outlineLevel="2">
      <c r="A279" s="291">
        <v>1587</v>
      </c>
      <c r="B279" s="818" t="s">
        <v>4500</v>
      </c>
      <c r="C279" s="458">
        <v>99</v>
      </c>
      <c r="D279" s="291">
        <v>1587</v>
      </c>
      <c r="E279" s="863" t="s">
        <v>4553</v>
      </c>
      <c r="F279" s="428" t="s">
        <v>4589</v>
      </c>
      <c r="G279" s="409"/>
      <c r="H279" s="429" t="s">
        <v>5649</v>
      </c>
      <c r="I279" s="411">
        <v>15</v>
      </c>
      <c r="J279" s="459" t="s">
        <v>5650</v>
      </c>
      <c r="K279" s="437"/>
      <c r="L279" s="413"/>
      <c r="M279" s="414"/>
      <c r="N279" s="415"/>
      <c r="O279" s="280">
        <v>200000</v>
      </c>
      <c r="P279" s="465">
        <v>200000</v>
      </c>
      <c r="Q279" s="263">
        <f t="shared" si="119"/>
        <v>200000</v>
      </c>
      <c r="R279" s="284">
        <v>200000</v>
      </c>
      <c r="S279" s="285"/>
      <c r="T279" s="466">
        <v>200000</v>
      </c>
      <c r="U279" s="544">
        <v>200000</v>
      </c>
      <c r="V279" s="43"/>
      <c r="W279" s="44"/>
      <c r="X279" s="45">
        <v>43200</v>
      </c>
      <c r="Y279" s="46"/>
      <c r="Z279" s="46"/>
      <c r="AA279" s="47">
        <f t="shared" si="116"/>
        <v>200000</v>
      </c>
      <c r="AB279" s="48">
        <f t="shared" si="120"/>
        <v>0</v>
      </c>
      <c r="AC279" s="265"/>
      <c r="AD279" s="424">
        <f t="shared" si="113"/>
        <v>0</v>
      </c>
      <c r="AE279" s="49"/>
      <c r="AF279" s="50"/>
      <c r="AG279" s="50"/>
      <c r="AH279" s="50"/>
      <c r="AI279" s="51"/>
      <c r="AJ279" s="52"/>
      <c r="AK279" s="462"/>
      <c r="AL279" s="864"/>
      <c r="AM279" s="308" t="str">
        <f t="shared" si="117"/>
        <v>1587</v>
      </c>
      <c r="AN279" s="369" t="str">
        <f t="shared" si="118"/>
        <v>1587</v>
      </c>
      <c r="AO279" s="291">
        <v>1587</v>
      </c>
      <c r="AR279" s="47">
        <f>U290+AB279</f>
        <v>300000</v>
      </c>
      <c r="AS279" s="54"/>
      <c r="AT279" s="55"/>
      <c r="AU279" s="56"/>
      <c r="AV279" s="57" t="e">
        <f>#REF!-#REF!</f>
        <v>#REF!</v>
      </c>
    </row>
    <row r="280" spans="1:48" ht="16.5" customHeight="1" outlineLevel="2">
      <c r="A280" s="291">
        <v>1588</v>
      </c>
      <c r="B280" s="818" t="s">
        <v>4500</v>
      </c>
      <c r="C280" s="458">
        <v>99</v>
      </c>
      <c r="D280" s="291">
        <v>1588</v>
      </c>
      <c r="E280" s="863" t="s">
        <v>4553</v>
      </c>
      <c r="F280" s="428" t="s">
        <v>4589</v>
      </c>
      <c r="G280" s="409"/>
      <c r="H280" s="429" t="s">
        <v>5651</v>
      </c>
      <c r="I280" s="411">
        <v>15</v>
      </c>
      <c r="J280" s="459" t="s">
        <v>5652</v>
      </c>
      <c r="K280" s="437"/>
      <c r="L280" s="413"/>
      <c r="M280" s="414"/>
      <c r="N280" s="415"/>
      <c r="O280" s="280">
        <v>100000</v>
      </c>
      <c r="P280" s="465"/>
      <c r="Q280" s="263">
        <f t="shared" si="119"/>
        <v>100000</v>
      </c>
      <c r="R280" s="284">
        <v>100000</v>
      </c>
      <c r="S280" s="285"/>
      <c r="T280" s="466"/>
      <c r="U280" s="544">
        <v>100000</v>
      </c>
      <c r="V280" s="43"/>
      <c r="W280" s="44"/>
      <c r="X280" s="45"/>
      <c r="Y280" s="46"/>
      <c r="Z280" s="46"/>
      <c r="AA280" s="47">
        <f t="shared" si="116"/>
        <v>100000</v>
      </c>
      <c r="AB280" s="48">
        <f t="shared" si="120"/>
        <v>0</v>
      </c>
      <c r="AC280" s="265"/>
      <c r="AD280" s="424">
        <f t="shared" si="113"/>
        <v>0</v>
      </c>
      <c r="AE280" s="49"/>
      <c r="AF280" s="50"/>
      <c r="AG280" s="50"/>
      <c r="AH280" s="50"/>
      <c r="AI280" s="51"/>
      <c r="AJ280" s="52"/>
      <c r="AK280" s="462"/>
      <c r="AL280" s="864"/>
      <c r="AM280" s="308" t="str">
        <f t="shared" si="117"/>
        <v>1588</v>
      </c>
      <c r="AN280" s="369" t="str">
        <f t="shared" si="118"/>
        <v>1588</v>
      </c>
      <c r="AO280" s="291">
        <v>1588</v>
      </c>
      <c r="AR280" s="47">
        <f>U291+AB280</f>
        <v>350000</v>
      </c>
      <c r="AS280" s="54"/>
      <c r="AT280" s="55"/>
      <c r="AU280" s="56"/>
      <c r="AV280" s="57" t="e">
        <f>#REF!-#REF!</f>
        <v>#REF!</v>
      </c>
    </row>
    <row r="281" spans="1:48" customFormat="1" ht="16.5" customHeight="1" outlineLevel="2">
      <c r="A281" s="542">
        <v>1591</v>
      </c>
      <c r="B281" s="818" t="s">
        <v>4500</v>
      </c>
      <c r="C281" s="458">
        <v>99</v>
      </c>
      <c r="D281" s="542">
        <v>1591</v>
      </c>
      <c r="E281" s="863" t="s">
        <v>4553</v>
      </c>
      <c r="F281" s="428" t="s">
        <v>4589</v>
      </c>
      <c r="G281" s="409"/>
      <c r="H281" s="410" t="s">
        <v>5653</v>
      </c>
      <c r="I281" s="411">
        <v>15</v>
      </c>
      <c r="J281" s="459" t="s">
        <v>4592</v>
      </c>
      <c r="K281" s="460">
        <v>2</v>
      </c>
      <c r="L281" s="444"/>
      <c r="M281" s="414"/>
      <c r="N281" s="865"/>
      <c r="O281" s="866">
        <v>0</v>
      </c>
      <c r="P281" s="416"/>
      <c r="Q281" s="263">
        <f>R281+S281</f>
        <v>150000</v>
      </c>
      <c r="R281" s="284"/>
      <c r="S281" s="59">
        <v>150000</v>
      </c>
      <c r="T281" s="867"/>
      <c r="U281" s="544"/>
      <c r="V281" s="43"/>
      <c r="W281" s="44"/>
      <c r="X281" s="58" t="s">
        <v>4506</v>
      </c>
      <c r="Y281" s="210"/>
      <c r="Z281" s="46"/>
      <c r="AA281" s="168">
        <f>Q281+AB281-AJ281</f>
        <v>150000</v>
      </c>
      <c r="AB281" s="142">
        <f>SUM(AE281:AI281)+AJ281</f>
        <v>150000</v>
      </c>
      <c r="AC281" s="562"/>
      <c r="AD281" s="424">
        <f t="shared" ref="AD281:AD286" si="121">SUM(AE281:AJ281)</f>
        <v>150000</v>
      </c>
      <c r="AE281" s="49"/>
      <c r="AF281" s="50"/>
      <c r="AG281" s="50"/>
      <c r="AH281" s="50"/>
      <c r="AI281" s="51"/>
      <c r="AJ281" s="143">
        <f>+S281</f>
        <v>150000</v>
      </c>
      <c r="AK281" s="462"/>
      <c r="AL281" s="396" t="s">
        <v>5462</v>
      </c>
      <c r="AM281" s="308" t="str">
        <f t="shared" si="117"/>
        <v>1591</v>
      </c>
      <c r="AN281" s="369" t="str">
        <f t="shared" si="118"/>
        <v>1591</v>
      </c>
      <c r="AO281" s="542">
        <v>1591</v>
      </c>
      <c r="AP281" s="542"/>
      <c r="AR281" s="168">
        <f>U276</f>
        <v>120000</v>
      </c>
      <c r="AS281" s="54"/>
      <c r="AT281" s="55"/>
      <c r="AU281" s="41"/>
      <c r="AV281" s="57" t="e">
        <f>#REF!-#REF!</f>
        <v>#REF!</v>
      </c>
    </row>
    <row r="282" spans="1:48" customFormat="1" ht="16.5" customHeight="1" outlineLevel="2">
      <c r="A282" s="542">
        <v>1592</v>
      </c>
      <c r="B282" s="818" t="s">
        <v>4500</v>
      </c>
      <c r="C282" s="458">
        <v>99</v>
      </c>
      <c r="D282" s="542">
        <v>1592</v>
      </c>
      <c r="E282" s="863" t="s">
        <v>4553</v>
      </c>
      <c r="F282" s="428" t="s">
        <v>4589</v>
      </c>
      <c r="G282" s="409"/>
      <c r="H282" s="410" t="s">
        <v>5654</v>
      </c>
      <c r="I282" s="411">
        <v>15</v>
      </c>
      <c r="J282" s="459" t="s">
        <v>4593</v>
      </c>
      <c r="K282" s="460">
        <v>3</v>
      </c>
      <c r="L282" s="444"/>
      <c r="M282" s="414"/>
      <c r="N282" s="865"/>
      <c r="O282" s="866">
        <v>0</v>
      </c>
      <c r="P282" s="416"/>
      <c r="Q282" s="263">
        <f>R282+S282</f>
        <v>150000</v>
      </c>
      <c r="R282" s="284"/>
      <c r="S282" s="59">
        <v>150000</v>
      </c>
      <c r="T282" s="867"/>
      <c r="U282" s="544"/>
      <c r="V282" s="43"/>
      <c r="W282" s="44"/>
      <c r="X282" s="58" t="s">
        <v>4506</v>
      </c>
      <c r="Y282" s="210"/>
      <c r="Z282" s="46"/>
      <c r="AA282" s="168">
        <f>Q282+AB282-AJ282</f>
        <v>150000</v>
      </c>
      <c r="AB282" s="142">
        <f>SUM(AE282:AI282)+AJ282</f>
        <v>150000</v>
      </c>
      <c r="AC282" s="562"/>
      <c r="AD282" s="424">
        <f t="shared" si="121"/>
        <v>150000</v>
      </c>
      <c r="AE282" s="49"/>
      <c r="AF282" s="50"/>
      <c r="AG282" s="50"/>
      <c r="AH282" s="50"/>
      <c r="AI282" s="51"/>
      <c r="AJ282" s="143">
        <f>+S282</f>
        <v>150000</v>
      </c>
      <c r="AK282" s="462"/>
      <c r="AL282" s="396" t="s">
        <v>5462</v>
      </c>
      <c r="AM282" s="308" t="str">
        <f t="shared" si="117"/>
        <v>1592</v>
      </c>
      <c r="AN282" s="369" t="str">
        <f t="shared" si="118"/>
        <v>1592</v>
      </c>
      <c r="AO282" s="542">
        <v>1592</v>
      </c>
      <c r="AP282" s="542"/>
      <c r="AR282" s="168">
        <f>U277</f>
        <v>500000</v>
      </c>
      <c r="AS282" s="54"/>
      <c r="AT282" s="55"/>
      <c r="AU282" s="41"/>
      <c r="AV282" s="57" t="e">
        <f>#REF!-#REF!</f>
        <v>#REF!</v>
      </c>
    </row>
    <row r="283" spans="1:48" ht="16.5" customHeight="1" outlineLevel="2" thickBot="1">
      <c r="A283" s="291">
        <v>1593</v>
      </c>
      <c r="B283" s="818" t="s">
        <v>4500</v>
      </c>
      <c r="C283" s="458">
        <v>99</v>
      </c>
      <c r="D283" s="291">
        <v>1593</v>
      </c>
      <c r="E283" s="863" t="s">
        <v>4553</v>
      </c>
      <c r="F283" s="428" t="s">
        <v>4589</v>
      </c>
      <c r="G283" s="409"/>
      <c r="H283" s="410" t="s">
        <v>5655</v>
      </c>
      <c r="I283" s="411">
        <v>15</v>
      </c>
      <c r="J283" s="459" t="s">
        <v>4595</v>
      </c>
      <c r="K283" s="460">
        <v>1</v>
      </c>
      <c r="L283" s="413"/>
      <c r="M283" s="414"/>
      <c r="N283" s="415"/>
      <c r="O283" s="280"/>
      <c r="P283" s="465">
        <v>200000</v>
      </c>
      <c r="Q283" s="263">
        <f>R283+S283</f>
        <v>300000</v>
      </c>
      <c r="R283" s="284"/>
      <c r="S283" s="59">
        <v>300000</v>
      </c>
      <c r="T283" s="466"/>
      <c r="U283" s="544"/>
      <c r="V283" s="44"/>
      <c r="W283" s="44"/>
      <c r="X283" s="58" t="s">
        <v>4506</v>
      </c>
      <c r="Y283" s="46"/>
      <c r="Z283" s="46"/>
      <c r="AA283" s="47">
        <f>Q283</f>
        <v>300000</v>
      </c>
      <c r="AB283" s="48">
        <f>SUM(AE283:AI283)+AJ283</f>
        <v>300000</v>
      </c>
      <c r="AC283" s="265"/>
      <c r="AD283" s="424">
        <f t="shared" si="121"/>
        <v>300000</v>
      </c>
      <c r="AE283" s="49"/>
      <c r="AF283" s="50"/>
      <c r="AG283" s="50"/>
      <c r="AH283" s="50"/>
      <c r="AI283" s="51"/>
      <c r="AJ283" s="143">
        <f>+S283</f>
        <v>300000</v>
      </c>
      <c r="AK283" s="462"/>
      <c r="AL283" s="396" t="s">
        <v>5462</v>
      </c>
      <c r="AM283" s="308" t="str">
        <f t="shared" si="117"/>
        <v>1593</v>
      </c>
      <c r="AN283" s="369" t="str">
        <f t="shared" si="118"/>
        <v>1593</v>
      </c>
      <c r="AO283" s="291">
        <v>1593</v>
      </c>
      <c r="AR283" s="47">
        <f>U280+AB283</f>
        <v>400000</v>
      </c>
      <c r="AS283" s="54"/>
      <c r="AT283" s="55"/>
      <c r="AU283" s="56"/>
      <c r="AV283" s="57" t="e">
        <f>#REF!-#REF!</f>
        <v>#REF!</v>
      </c>
    </row>
    <row r="284" spans="1:48" customFormat="1" ht="16.5" customHeight="1" outlineLevel="2" thickBot="1">
      <c r="A284" s="542">
        <v>1594</v>
      </c>
      <c r="B284" s="818" t="s">
        <v>4500</v>
      </c>
      <c r="C284" s="458">
        <v>41</v>
      </c>
      <c r="D284" s="542">
        <v>1594</v>
      </c>
      <c r="E284" s="863" t="s">
        <v>4553</v>
      </c>
      <c r="F284" s="428" t="s">
        <v>4589</v>
      </c>
      <c r="G284" s="409"/>
      <c r="H284" s="429" t="s">
        <v>4473</v>
      </c>
      <c r="I284" s="411">
        <v>15</v>
      </c>
      <c r="J284" s="459" t="s">
        <v>4602</v>
      </c>
      <c r="K284" s="437"/>
      <c r="L284" s="444"/>
      <c r="M284" s="414"/>
      <c r="N284" s="865"/>
      <c r="O284" s="280">
        <v>480000</v>
      </c>
      <c r="P284" s="465"/>
      <c r="Q284" s="263">
        <f>R284</f>
        <v>480000</v>
      </c>
      <c r="R284" s="284">
        <v>480000</v>
      </c>
      <c r="S284" s="285"/>
      <c r="T284" s="466"/>
      <c r="U284" s="544">
        <v>150000</v>
      </c>
      <c r="V284" s="43"/>
      <c r="W284" s="44"/>
      <c r="X284" s="58"/>
      <c r="Y284" s="46"/>
      <c r="Z284" s="46"/>
      <c r="AA284" s="47">
        <f>AB284-AI284</f>
        <v>480000</v>
      </c>
      <c r="AB284" s="48">
        <f>SUM(AE284:AH284)+AJ284</f>
        <v>1100000</v>
      </c>
      <c r="AC284" s="265"/>
      <c r="AD284" s="424">
        <f t="shared" si="121"/>
        <v>1720000</v>
      </c>
      <c r="AE284" s="49"/>
      <c r="AF284" s="50"/>
      <c r="AG284" s="50"/>
      <c r="AH284" s="50"/>
      <c r="AI284" s="170">
        <v>620000</v>
      </c>
      <c r="AJ284" s="52">
        <v>1100000</v>
      </c>
      <c r="AK284" s="462"/>
      <c r="AL284" s="442" t="s">
        <v>4542</v>
      </c>
      <c r="AM284" s="308" t="str">
        <f t="shared" si="117"/>
        <v>1594</v>
      </c>
      <c r="AN284" s="369" t="str">
        <f t="shared" si="118"/>
        <v>1594</v>
      </c>
      <c r="AO284" s="542">
        <v>1594</v>
      </c>
      <c r="AP284" s="542"/>
      <c r="AR284" s="168">
        <f>U279</f>
        <v>200000</v>
      </c>
      <c r="AS284" s="54"/>
      <c r="AT284" s="55"/>
      <c r="AU284" s="41"/>
      <c r="AV284" s="57" t="e">
        <f>#REF!-#REF!</f>
        <v>#REF!</v>
      </c>
    </row>
    <row r="285" spans="1:48" ht="16.5" customHeight="1" outlineLevel="2">
      <c r="A285" s="291">
        <v>1595</v>
      </c>
      <c r="B285" s="818" t="s">
        <v>4500</v>
      </c>
      <c r="C285" s="458">
        <v>99</v>
      </c>
      <c r="D285" s="291">
        <v>1595</v>
      </c>
      <c r="E285" s="863" t="s">
        <v>4553</v>
      </c>
      <c r="F285" s="428" t="s">
        <v>4589</v>
      </c>
      <c r="G285" s="868"/>
      <c r="H285" s="429" t="s">
        <v>4597</v>
      </c>
      <c r="I285" s="411">
        <v>15</v>
      </c>
      <c r="J285" s="459" t="s">
        <v>5656</v>
      </c>
      <c r="K285" s="437"/>
      <c r="L285" s="869"/>
      <c r="M285" s="414"/>
      <c r="N285" s="870"/>
      <c r="O285" s="280">
        <v>50000</v>
      </c>
      <c r="P285" s="465"/>
      <c r="Q285" s="263">
        <f>R285+S285</f>
        <v>50000</v>
      </c>
      <c r="R285" s="284">
        <v>50000</v>
      </c>
      <c r="S285" s="871"/>
      <c r="T285" s="466"/>
      <c r="U285" s="544">
        <v>50000</v>
      </c>
      <c r="V285" s="43"/>
      <c r="W285" s="44"/>
      <c r="X285" s="45"/>
      <c r="Y285" s="210"/>
      <c r="Z285" s="46"/>
      <c r="AA285" s="47">
        <f>Q285+AB285-AJ285</f>
        <v>50000</v>
      </c>
      <c r="AB285" s="211">
        <f>SUM(AE285:AI285)+AJ285</f>
        <v>0</v>
      </c>
      <c r="AC285" s="872"/>
      <c r="AD285" s="873">
        <f t="shared" si="121"/>
        <v>0</v>
      </c>
      <c r="AE285" s="49"/>
      <c r="AF285" s="50"/>
      <c r="AG285" s="50"/>
      <c r="AH285" s="50"/>
      <c r="AI285" s="51"/>
      <c r="AJ285" s="52"/>
      <c r="AK285" s="462"/>
      <c r="AL285" s="864"/>
      <c r="AM285" s="308" t="str">
        <f t="shared" si="117"/>
        <v>1595</v>
      </c>
      <c r="AN285" s="369" t="str">
        <f t="shared" si="118"/>
        <v>1595</v>
      </c>
      <c r="AO285" s="291">
        <v>1595</v>
      </c>
      <c r="AQ285" s="54"/>
      <c r="AR285" s="47">
        <f>U278</f>
        <v>100000</v>
      </c>
      <c r="AS285" s="55"/>
      <c r="AT285" s="212">
        <v>100000</v>
      </c>
      <c r="AU285" s="57" t="e">
        <f>#REF!-#REF!</f>
        <v>#REF!</v>
      </c>
      <c r="AV285" s="305"/>
    </row>
    <row r="286" spans="1:48" ht="16.5" customHeight="1" outlineLevel="2">
      <c r="A286" s="291">
        <v>1596</v>
      </c>
      <c r="B286" s="818" t="s">
        <v>4500</v>
      </c>
      <c r="C286" s="458">
        <v>99</v>
      </c>
      <c r="D286" s="291">
        <v>1596</v>
      </c>
      <c r="E286" s="863" t="s">
        <v>4553</v>
      </c>
      <c r="F286" s="428" t="s">
        <v>4589</v>
      </c>
      <c r="G286" s="409"/>
      <c r="H286" s="410" t="s">
        <v>5657</v>
      </c>
      <c r="I286" s="411">
        <v>15</v>
      </c>
      <c r="J286" s="459" t="s">
        <v>5658</v>
      </c>
      <c r="K286" s="460">
        <v>83</v>
      </c>
      <c r="L286" s="413"/>
      <c r="M286" s="414"/>
      <c r="N286" s="415"/>
      <c r="O286" s="280">
        <v>740000</v>
      </c>
      <c r="P286" s="465"/>
      <c r="Q286" s="263">
        <f>R286+S286</f>
        <v>200000</v>
      </c>
      <c r="R286" s="284"/>
      <c r="S286" s="59">
        <v>200000</v>
      </c>
      <c r="T286" s="466"/>
      <c r="U286" s="544">
        <v>480000</v>
      </c>
      <c r="V286" s="44"/>
      <c r="W286" s="44"/>
      <c r="X286" s="58" t="s">
        <v>4506</v>
      </c>
      <c r="Y286" s="46"/>
      <c r="Z286" s="46"/>
      <c r="AA286" s="47">
        <f>Q286</f>
        <v>200000</v>
      </c>
      <c r="AB286" s="48">
        <f>SUM(AE286:AI286)+AJ286</f>
        <v>200000</v>
      </c>
      <c r="AC286" s="265"/>
      <c r="AD286" s="424">
        <f t="shared" si="121"/>
        <v>200000</v>
      </c>
      <c r="AE286" s="49"/>
      <c r="AF286" s="50"/>
      <c r="AG286" s="50"/>
      <c r="AH286" s="50"/>
      <c r="AI286" s="51"/>
      <c r="AJ286" s="143">
        <f>+S286</f>
        <v>200000</v>
      </c>
      <c r="AK286" s="462"/>
      <c r="AL286" s="874" t="s">
        <v>5439</v>
      </c>
      <c r="AM286" s="308" t="str">
        <f t="shared" si="117"/>
        <v>1596</v>
      </c>
      <c r="AN286" s="369" t="str">
        <f t="shared" si="118"/>
        <v>1596</v>
      </c>
      <c r="AO286" s="291">
        <v>1596</v>
      </c>
      <c r="AR286" s="47">
        <f>U287+AB286</f>
        <v>500000</v>
      </c>
      <c r="AS286" s="54"/>
      <c r="AT286" s="55"/>
      <c r="AU286" s="56"/>
      <c r="AV286" s="57" t="e">
        <f>#REF!-#REF!</f>
        <v>#REF!</v>
      </c>
    </row>
    <row r="287" spans="1:48" ht="16.5" customHeight="1" outlineLevel="2" thickBot="1">
      <c r="A287" s="291">
        <v>15</v>
      </c>
      <c r="B287" s="818" t="s">
        <v>4500</v>
      </c>
      <c r="C287" s="458">
        <v>99</v>
      </c>
      <c r="D287" s="291">
        <v>15</v>
      </c>
      <c r="E287" s="863" t="s">
        <v>4553</v>
      </c>
      <c r="F287" s="428" t="s">
        <v>4589</v>
      </c>
      <c r="G287" s="409"/>
      <c r="H287" s="429" t="s">
        <v>5629</v>
      </c>
      <c r="I287" s="411">
        <v>15</v>
      </c>
      <c r="J287" s="459"/>
      <c r="K287" s="437"/>
      <c r="L287" s="413"/>
      <c r="M287" s="414"/>
      <c r="N287" s="415"/>
      <c r="O287" s="280">
        <v>220000</v>
      </c>
      <c r="P287" s="465"/>
      <c r="Q287" s="263">
        <f t="shared" si="119"/>
        <v>320000</v>
      </c>
      <c r="R287" s="284">
        <v>320000</v>
      </c>
      <c r="S287" s="285"/>
      <c r="T287" s="466"/>
      <c r="U287" s="544">
        <v>300000</v>
      </c>
      <c r="V287" s="44"/>
      <c r="W287" s="44"/>
      <c r="X287" s="58"/>
      <c r="Y287" s="46"/>
      <c r="Z287" s="46"/>
      <c r="AA287" s="47">
        <f t="shared" si="116"/>
        <v>320000</v>
      </c>
      <c r="AB287" s="48">
        <f t="shared" si="120"/>
        <v>0</v>
      </c>
      <c r="AC287" s="265"/>
      <c r="AD287" s="424">
        <f t="shared" si="113"/>
        <v>0</v>
      </c>
      <c r="AE287" s="49"/>
      <c r="AF287" s="50"/>
      <c r="AG287" s="50"/>
      <c r="AH287" s="50"/>
      <c r="AI287" s="135"/>
      <c r="AJ287" s="52"/>
      <c r="AK287" s="462"/>
      <c r="AL287" s="442"/>
      <c r="AM287" s="308" t="str">
        <f t="shared" si="117"/>
        <v>15</v>
      </c>
      <c r="AN287" s="369" t="str">
        <f t="shared" si="118"/>
        <v>15</v>
      </c>
      <c r="AO287" s="291">
        <v>15</v>
      </c>
      <c r="AR287" s="47">
        <f>U292+AB287</f>
        <v>100000</v>
      </c>
      <c r="AS287" s="54"/>
      <c r="AT287" s="55"/>
      <c r="AU287" s="56"/>
      <c r="AV287" s="57" t="e">
        <f>#REF!-#REF!</f>
        <v>#REF!</v>
      </c>
    </row>
    <row r="288" spans="1:48" customFormat="1" ht="20.25" customHeight="1" outlineLevel="2" thickBot="1">
      <c r="A288" s="542">
        <v>1691</v>
      </c>
      <c r="B288" s="818" t="s">
        <v>4500</v>
      </c>
      <c r="C288" s="458">
        <v>99</v>
      </c>
      <c r="D288" s="542">
        <v>1691</v>
      </c>
      <c r="E288" s="407" t="s">
        <v>5659</v>
      </c>
      <c r="F288" s="428" t="s">
        <v>4589</v>
      </c>
      <c r="G288" s="409"/>
      <c r="H288" s="429" t="s">
        <v>5660</v>
      </c>
      <c r="I288" s="411">
        <v>16</v>
      </c>
      <c r="J288" s="459" t="s">
        <v>4592</v>
      </c>
      <c r="K288" s="437"/>
      <c r="L288" s="413"/>
      <c r="M288" s="414"/>
      <c r="N288" s="415"/>
      <c r="O288" s="280">
        <v>390000</v>
      </c>
      <c r="P288" s="465"/>
      <c r="Q288" s="263">
        <f>AA288-AB288</f>
        <v>-20000</v>
      </c>
      <c r="R288" s="284"/>
      <c r="S288" s="285"/>
      <c r="T288" s="466"/>
      <c r="U288" s="544">
        <v>0</v>
      </c>
      <c r="V288" s="43"/>
      <c r="W288" s="44"/>
      <c r="X288" s="45"/>
      <c r="Y288" s="128"/>
      <c r="Z288" s="46"/>
      <c r="AA288" s="47">
        <f>AI288</f>
        <v>370000</v>
      </c>
      <c r="AB288" s="48">
        <f>SUM(AE288:AH288)</f>
        <v>390000</v>
      </c>
      <c r="AC288" s="265"/>
      <c r="AD288" s="424">
        <f t="shared" si="113"/>
        <v>760000</v>
      </c>
      <c r="AE288" s="49">
        <v>390000</v>
      </c>
      <c r="AF288" s="50"/>
      <c r="AG288" s="50"/>
      <c r="AH288" s="76"/>
      <c r="AI288" s="170">
        <v>370000</v>
      </c>
      <c r="AJ288" s="213"/>
      <c r="AK288" s="462"/>
      <c r="AL288" s="442" t="s">
        <v>5661</v>
      </c>
      <c r="AM288" s="308" t="str">
        <f t="shared" si="117"/>
        <v>1691</v>
      </c>
      <c r="AN288" s="369" t="str">
        <f t="shared" si="118"/>
        <v>1691</v>
      </c>
      <c r="AO288" s="542">
        <v>1691</v>
      </c>
      <c r="AP288" s="542"/>
      <c r="AR288" s="47">
        <f>U293</f>
        <v>17600000</v>
      </c>
      <c r="AS288" s="54"/>
      <c r="AT288" s="55"/>
      <c r="AU288" s="56"/>
      <c r="AV288" s="57" t="e">
        <f>#REF!-#REF!</f>
        <v>#REF!</v>
      </c>
    </row>
    <row r="289" spans="1:48" ht="16.5" customHeight="1" outlineLevel="2">
      <c r="A289" s="291">
        <v>1791</v>
      </c>
      <c r="B289" s="818" t="s">
        <v>4500</v>
      </c>
      <c r="C289" s="458">
        <v>99</v>
      </c>
      <c r="D289" s="291">
        <v>1791</v>
      </c>
      <c r="E289" s="863" t="s">
        <v>4512</v>
      </c>
      <c r="F289" s="428" t="s">
        <v>4589</v>
      </c>
      <c r="G289" s="409"/>
      <c r="H289" s="429" t="s">
        <v>5662</v>
      </c>
      <c r="I289" s="411">
        <v>17</v>
      </c>
      <c r="J289" s="459" t="s">
        <v>4592</v>
      </c>
      <c r="K289" s="437"/>
      <c r="L289" s="413"/>
      <c r="M289" s="414"/>
      <c r="N289" s="415"/>
      <c r="O289" s="280">
        <v>3600000</v>
      </c>
      <c r="P289" s="465"/>
      <c r="Q289" s="263">
        <f t="shared" si="119"/>
        <v>3000000</v>
      </c>
      <c r="R289" s="284">
        <v>3000000</v>
      </c>
      <c r="S289" s="285"/>
      <c r="T289" s="466"/>
      <c r="U289" s="544">
        <v>3000000</v>
      </c>
      <c r="V289" s="44"/>
      <c r="W289" s="44"/>
      <c r="X289" s="132"/>
      <c r="Y289" s="46"/>
      <c r="Z289" s="46"/>
      <c r="AA289" s="47">
        <f>Q289+AB289-AJ289</f>
        <v>3000000</v>
      </c>
      <c r="AB289" s="48">
        <f>SUM(AE289:AI289)</f>
        <v>0</v>
      </c>
      <c r="AC289" s="265"/>
      <c r="AD289" s="424">
        <f t="shared" si="113"/>
        <v>0</v>
      </c>
      <c r="AE289" s="49"/>
      <c r="AF289" s="50"/>
      <c r="AG289" s="50"/>
      <c r="AH289" s="50"/>
      <c r="AI289" s="204"/>
      <c r="AJ289" s="52"/>
      <c r="AK289" s="462"/>
      <c r="AL289" s="442" t="s">
        <v>4601</v>
      </c>
      <c r="AM289" s="308" t="str">
        <f t="shared" si="117"/>
        <v>1791</v>
      </c>
      <c r="AN289" s="369" t="str">
        <f t="shared" si="118"/>
        <v>1791</v>
      </c>
      <c r="AO289" s="291">
        <v>1791</v>
      </c>
      <c r="AR289" s="47">
        <f>U294+AB289</f>
        <v>-8000000</v>
      </c>
      <c r="AS289" s="54"/>
      <c r="AT289" s="55"/>
      <c r="AU289" s="56"/>
      <c r="AV289" s="57" t="e">
        <f>#REF!-#REF!</f>
        <v>#REF!</v>
      </c>
    </row>
    <row r="290" spans="1:48" ht="16.5" customHeight="1" outlineLevel="2">
      <c r="A290" s="291">
        <v>1792</v>
      </c>
      <c r="B290" s="818" t="s">
        <v>4500</v>
      </c>
      <c r="C290" s="458">
        <v>99</v>
      </c>
      <c r="D290" s="291">
        <v>1792</v>
      </c>
      <c r="E290" s="863" t="s">
        <v>4512</v>
      </c>
      <c r="F290" s="428" t="s">
        <v>4589</v>
      </c>
      <c r="G290" s="409"/>
      <c r="H290" s="429" t="s">
        <v>5663</v>
      </c>
      <c r="I290" s="411">
        <v>17</v>
      </c>
      <c r="J290" s="459" t="s">
        <v>4593</v>
      </c>
      <c r="K290" s="437"/>
      <c r="L290" s="413"/>
      <c r="M290" s="414"/>
      <c r="N290" s="415"/>
      <c r="O290" s="280">
        <v>300000</v>
      </c>
      <c r="P290" s="465"/>
      <c r="Q290" s="263">
        <f t="shared" si="119"/>
        <v>300000</v>
      </c>
      <c r="R290" s="284">
        <v>300000</v>
      </c>
      <c r="S290" s="285"/>
      <c r="T290" s="466"/>
      <c r="U290" s="544">
        <v>300000</v>
      </c>
      <c r="V290" s="43"/>
      <c r="W290" s="44"/>
      <c r="X290" s="132"/>
      <c r="Y290" s="46"/>
      <c r="Z290" s="46"/>
      <c r="AA290" s="47">
        <f>Q290+AB290-AJ290</f>
        <v>300000</v>
      </c>
      <c r="AB290" s="48">
        <f>SUM(AE290:AI290)+AJ290</f>
        <v>150000</v>
      </c>
      <c r="AC290" s="265"/>
      <c r="AD290" s="424">
        <f t="shared" ref="AD290:AD344" si="122">SUM(AE290:AJ290)</f>
        <v>150000</v>
      </c>
      <c r="AE290" s="49"/>
      <c r="AF290" s="50"/>
      <c r="AG290" s="50"/>
      <c r="AH290" s="50"/>
      <c r="AI290" s="51"/>
      <c r="AJ290" s="143">
        <v>150000</v>
      </c>
      <c r="AK290" s="462"/>
      <c r="AL290" s="442"/>
      <c r="AM290" s="308" t="str">
        <f t="shared" si="117"/>
        <v>1792</v>
      </c>
      <c r="AN290" s="369" t="str">
        <f t="shared" si="118"/>
        <v>1792</v>
      </c>
      <c r="AO290" s="291">
        <v>1792</v>
      </c>
      <c r="AR290" s="47">
        <f>U295</f>
        <v>1000000</v>
      </c>
      <c r="AS290" s="54"/>
      <c r="AT290" s="55"/>
      <c r="AU290" s="56"/>
      <c r="AV290" s="57" t="e">
        <f>#REF!-#REF!</f>
        <v>#REF!</v>
      </c>
    </row>
    <row r="291" spans="1:48" ht="16.5" customHeight="1" outlineLevel="2">
      <c r="A291" s="291">
        <v>1793</v>
      </c>
      <c r="B291" s="818" t="s">
        <v>4500</v>
      </c>
      <c r="C291" s="458">
        <v>99</v>
      </c>
      <c r="D291" s="291">
        <v>1793</v>
      </c>
      <c r="E291" s="863" t="s">
        <v>4512</v>
      </c>
      <c r="F291" s="428" t="s">
        <v>4589</v>
      </c>
      <c r="G291" s="409"/>
      <c r="H291" s="429" t="s">
        <v>5664</v>
      </c>
      <c r="I291" s="411">
        <v>17</v>
      </c>
      <c r="J291" s="459" t="s">
        <v>4595</v>
      </c>
      <c r="K291" s="437"/>
      <c r="L291" s="413"/>
      <c r="M291" s="414"/>
      <c r="N291" s="415"/>
      <c r="O291" s="280">
        <v>350000</v>
      </c>
      <c r="P291" s="465"/>
      <c r="Q291" s="263">
        <f t="shared" si="119"/>
        <v>350000</v>
      </c>
      <c r="R291" s="284">
        <v>350000</v>
      </c>
      <c r="S291" s="285"/>
      <c r="T291" s="466"/>
      <c r="U291" s="544">
        <v>350000</v>
      </c>
      <c r="V291" s="44"/>
      <c r="W291" s="44"/>
      <c r="X291" s="132"/>
      <c r="Y291" s="46"/>
      <c r="Z291" s="46"/>
      <c r="AA291" s="47">
        <f>Q291+AB291-AJ291</f>
        <v>350000</v>
      </c>
      <c r="AB291" s="48"/>
      <c r="AC291" s="265"/>
      <c r="AD291" s="424">
        <f t="shared" si="122"/>
        <v>0</v>
      </c>
      <c r="AE291" s="49"/>
      <c r="AF291" s="50"/>
      <c r="AG291" s="50"/>
      <c r="AH291" s="50"/>
      <c r="AI291" s="135"/>
      <c r="AJ291" s="143">
        <f>+S291</f>
        <v>0</v>
      </c>
      <c r="AK291" s="462"/>
      <c r="AL291" s="442"/>
      <c r="AM291" s="308" t="str">
        <f t="shared" si="117"/>
        <v>1793</v>
      </c>
      <c r="AN291" s="369" t="str">
        <f t="shared" si="118"/>
        <v>1793</v>
      </c>
      <c r="AO291" s="291">
        <v>1793</v>
      </c>
      <c r="AR291" s="47">
        <f>U296</f>
        <v>0</v>
      </c>
      <c r="AS291" s="54"/>
      <c r="AT291" s="55"/>
      <c r="AU291" s="56"/>
      <c r="AV291" s="57" t="e">
        <f>#REF!-#REF!</f>
        <v>#REF!</v>
      </c>
    </row>
    <row r="292" spans="1:48" ht="16.5" customHeight="1" outlineLevel="2" thickBot="1">
      <c r="A292" s="291">
        <v>17</v>
      </c>
      <c r="B292" s="818" t="s">
        <v>4500</v>
      </c>
      <c r="C292" s="458">
        <v>99</v>
      </c>
      <c r="D292" s="291">
        <v>17</v>
      </c>
      <c r="E292" s="863" t="s">
        <v>4512</v>
      </c>
      <c r="F292" s="428" t="s">
        <v>4589</v>
      </c>
      <c r="G292" s="409"/>
      <c r="H292" s="429" t="s">
        <v>5629</v>
      </c>
      <c r="I292" s="411">
        <v>17</v>
      </c>
      <c r="J292" s="459"/>
      <c r="K292" s="437"/>
      <c r="L292" s="413"/>
      <c r="M292" s="414"/>
      <c r="N292" s="415"/>
      <c r="O292" s="280">
        <v>180000</v>
      </c>
      <c r="P292" s="465"/>
      <c r="Q292" s="263">
        <f t="shared" si="119"/>
        <v>120000</v>
      </c>
      <c r="R292" s="284">
        <v>120000</v>
      </c>
      <c r="S292" s="285"/>
      <c r="T292" s="466"/>
      <c r="U292" s="544">
        <v>100000</v>
      </c>
      <c r="V292" s="44"/>
      <c r="W292" s="44"/>
      <c r="X292" s="132"/>
      <c r="Y292" s="46"/>
      <c r="Z292" s="46"/>
      <c r="AA292" s="47">
        <f>Q292+AB292-AJ292</f>
        <v>120000</v>
      </c>
      <c r="AB292" s="48">
        <f>SUM(AE292:AI292)</f>
        <v>0</v>
      </c>
      <c r="AC292" s="265"/>
      <c r="AD292" s="424">
        <f t="shared" si="122"/>
        <v>0</v>
      </c>
      <c r="AE292" s="49"/>
      <c r="AF292" s="50"/>
      <c r="AG292" s="50"/>
      <c r="AH292" s="50"/>
      <c r="AI292" s="135"/>
      <c r="AJ292" s="52"/>
      <c r="AK292" s="462"/>
      <c r="AL292" s="442"/>
      <c r="AM292" s="308" t="str">
        <f t="shared" si="117"/>
        <v>17</v>
      </c>
      <c r="AN292" s="369" t="str">
        <f t="shared" si="118"/>
        <v>17</v>
      </c>
      <c r="AO292" s="291">
        <v>17</v>
      </c>
      <c r="AR292" s="47">
        <f>U297-AB292</f>
        <v>-2400000</v>
      </c>
      <c r="AS292" s="54"/>
      <c r="AT292" s="55"/>
      <c r="AU292" s="56"/>
      <c r="AV292" s="57" t="e">
        <f>#REF!-#REF!</f>
        <v>#REF!</v>
      </c>
    </row>
    <row r="293" spans="1:48" customFormat="1" ht="16.5" customHeight="1" outlineLevel="2" thickBot="1">
      <c r="A293" s="542">
        <v>2191</v>
      </c>
      <c r="B293" s="818" t="s">
        <v>4530</v>
      </c>
      <c r="C293" s="458">
        <v>99</v>
      </c>
      <c r="D293" s="542">
        <v>2191</v>
      </c>
      <c r="E293" s="863" t="s">
        <v>4531</v>
      </c>
      <c r="F293" s="428" t="s">
        <v>4589</v>
      </c>
      <c r="G293" s="409"/>
      <c r="H293" s="819" t="s">
        <v>5665</v>
      </c>
      <c r="I293" s="411">
        <v>21</v>
      </c>
      <c r="J293" s="459" t="s">
        <v>4592</v>
      </c>
      <c r="K293" s="460">
        <v>78</v>
      </c>
      <c r="L293" s="413"/>
      <c r="M293" s="414"/>
      <c r="N293" s="415"/>
      <c r="O293" s="280">
        <v>21480000</v>
      </c>
      <c r="P293" s="465"/>
      <c r="Q293" s="263">
        <f t="shared" si="119"/>
        <v>17850000</v>
      </c>
      <c r="R293" s="284">
        <f>AA293-S293</f>
        <v>12850000</v>
      </c>
      <c r="S293" s="59">
        <v>5000000</v>
      </c>
      <c r="T293" s="466"/>
      <c r="U293" s="544">
        <v>17600000</v>
      </c>
      <c r="V293" s="43"/>
      <c r="W293" s="44"/>
      <c r="X293" s="58" t="s">
        <v>4506</v>
      </c>
      <c r="Y293" s="46"/>
      <c r="Z293" s="46"/>
      <c r="AA293" s="47">
        <f>AB293-AI293</f>
        <v>17850000</v>
      </c>
      <c r="AB293" s="48">
        <f>SUM(AE293:AH293)+AJ293</f>
        <v>19620000</v>
      </c>
      <c r="AC293" s="265"/>
      <c r="AD293" s="424">
        <f t="shared" si="122"/>
        <v>21390000</v>
      </c>
      <c r="AE293" s="49"/>
      <c r="AF293" s="50">
        <v>8200000</v>
      </c>
      <c r="AG293" s="50"/>
      <c r="AH293" s="76">
        <f>2750000+770000+880000+340000+680000+1000000</f>
        <v>6420000</v>
      </c>
      <c r="AI293" s="170">
        <v>1770000</v>
      </c>
      <c r="AJ293" s="143">
        <f>+S293</f>
        <v>5000000</v>
      </c>
      <c r="AK293" s="462"/>
      <c r="AL293" s="396" t="s">
        <v>5456</v>
      </c>
      <c r="AM293" s="308" t="str">
        <f t="shared" ref="AM293:AM311" si="123">I293&amp;J293</f>
        <v>2191</v>
      </c>
      <c r="AN293" s="369" t="str">
        <f t="shared" si="118"/>
        <v>2191</v>
      </c>
      <c r="AO293" s="542">
        <v>2191</v>
      </c>
      <c r="AP293" s="542"/>
      <c r="AR293" s="47">
        <f>AI293</f>
        <v>1770000</v>
      </c>
      <c r="AS293" s="54"/>
      <c r="AT293" s="55"/>
      <c r="AU293" s="56"/>
      <c r="AV293" s="57" t="e">
        <f>#REF!-#REF!</f>
        <v>#REF!</v>
      </c>
    </row>
    <row r="294" spans="1:48" ht="16.5" customHeight="1" outlineLevel="2" thickBot="1">
      <c r="A294" s="291">
        <v>2192</v>
      </c>
      <c r="B294" s="818" t="s">
        <v>4530</v>
      </c>
      <c r="C294" s="458">
        <v>99</v>
      </c>
      <c r="D294" s="291">
        <v>2192</v>
      </c>
      <c r="E294" s="863" t="s">
        <v>4531</v>
      </c>
      <c r="F294" s="428" t="s">
        <v>4589</v>
      </c>
      <c r="G294" s="409"/>
      <c r="H294" s="429" t="s">
        <v>5666</v>
      </c>
      <c r="I294" s="411">
        <v>21</v>
      </c>
      <c r="J294" s="459" t="s">
        <v>4593</v>
      </c>
      <c r="K294" s="437"/>
      <c r="L294" s="413"/>
      <c r="M294" s="414"/>
      <c r="N294" s="415"/>
      <c r="O294" s="280">
        <v>-9000000</v>
      </c>
      <c r="P294" s="465"/>
      <c r="Q294" s="263">
        <f>R294+S294-AB294</f>
        <v>-3640000</v>
      </c>
      <c r="R294" s="284">
        <v>360000</v>
      </c>
      <c r="S294" s="285"/>
      <c r="T294" s="466"/>
      <c r="U294" s="544">
        <v>-8000000</v>
      </c>
      <c r="V294" s="43"/>
      <c r="W294" s="44"/>
      <c r="X294" s="132"/>
      <c r="Y294" s="46"/>
      <c r="Z294" s="46"/>
      <c r="AA294" s="47">
        <f>Q294+AB294-AJ294</f>
        <v>360000</v>
      </c>
      <c r="AB294" s="48">
        <f>SUM(AE294:AI294)</f>
        <v>4000000</v>
      </c>
      <c r="AC294" s="265"/>
      <c r="AD294" s="424">
        <f t="shared" si="122"/>
        <v>4000000</v>
      </c>
      <c r="AE294" s="49"/>
      <c r="AF294" s="50"/>
      <c r="AG294" s="50"/>
      <c r="AH294" s="50"/>
      <c r="AI294" s="77">
        <v>4000000</v>
      </c>
      <c r="AJ294" s="52"/>
      <c r="AK294" s="462"/>
      <c r="AL294" s="442"/>
      <c r="AM294" s="308" t="str">
        <f t="shared" si="123"/>
        <v>2192</v>
      </c>
      <c r="AN294" s="369" t="str">
        <f t="shared" si="118"/>
        <v>2192</v>
      </c>
      <c r="AO294" s="291">
        <v>2192</v>
      </c>
      <c r="AR294" s="47">
        <f>U299-AB294</f>
        <v>-6800000</v>
      </c>
      <c r="AS294" s="54"/>
      <c r="AT294" s="55"/>
      <c r="AU294" s="56"/>
      <c r="AV294" s="57" t="e">
        <f>#REF!-#REF!</f>
        <v>#REF!</v>
      </c>
    </row>
    <row r="295" spans="1:48" ht="16.5" customHeight="1" outlineLevel="2">
      <c r="A295" s="291" t="s">
        <v>4454</v>
      </c>
      <c r="B295" s="830"/>
      <c r="C295" s="831">
        <v>99</v>
      </c>
      <c r="D295" s="291" t="s">
        <v>4454</v>
      </c>
      <c r="E295" s="832" t="s">
        <v>4531</v>
      </c>
      <c r="F295" s="833"/>
      <c r="G295" s="834"/>
      <c r="H295" s="835" t="s">
        <v>5667</v>
      </c>
      <c r="I295" s="836"/>
      <c r="J295" s="837"/>
      <c r="K295" s="838"/>
      <c r="L295" s="839"/>
      <c r="M295" s="840"/>
      <c r="N295" s="841"/>
      <c r="O295" s="842">
        <v>1000000</v>
      </c>
      <c r="P295" s="843"/>
      <c r="Q295" s="844">
        <f>R295+S295</f>
        <v>0</v>
      </c>
      <c r="R295" s="845"/>
      <c r="S295" s="846"/>
      <c r="T295" s="847"/>
      <c r="U295" s="848">
        <v>1000000</v>
      </c>
      <c r="V295" s="849"/>
      <c r="W295" s="850"/>
      <c r="X295" s="875"/>
      <c r="Y295" s="853"/>
      <c r="Z295" s="853"/>
      <c r="AA295" s="854">
        <f>Q295+AB295-AJ295</f>
        <v>0</v>
      </c>
      <c r="AB295" s="855">
        <f>SUM(AE295:AI295)</f>
        <v>0</v>
      </c>
      <c r="AC295" s="855"/>
      <c r="AD295" s="856">
        <f t="shared" si="122"/>
        <v>0</v>
      </c>
      <c r="AE295" s="857"/>
      <c r="AF295" s="858"/>
      <c r="AG295" s="858"/>
      <c r="AH295" s="858"/>
      <c r="AI295" s="876"/>
      <c r="AJ295" s="860"/>
      <c r="AK295" s="861"/>
      <c r="AL295" s="877" t="s">
        <v>5668</v>
      </c>
      <c r="AM295" s="308" t="str">
        <f t="shared" si="123"/>
        <v/>
      </c>
      <c r="AN295" s="369" t="str">
        <f t="shared" si="118"/>
        <v/>
      </c>
      <c r="AO295" s="291" t="s">
        <v>4454</v>
      </c>
      <c r="AR295" s="47">
        <f>U300-AB295</f>
        <v>0</v>
      </c>
      <c r="AS295" s="54"/>
      <c r="AT295" s="55"/>
      <c r="AU295" s="56"/>
      <c r="AV295" s="57" t="e">
        <f>#REF!-#REF!</f>
        <v>#REF!</v>
      </c>
    </row>
    <row r="296" spans="1:48" ht="16.5" customHeight="1" outlineLevel="2" thickBot="1">
      <c r="A296" s="291" t="s">
        <v>4454</v>
      </c>
      <c r="B296" s="830"/>
      <c r="C296" s="831">
        <v>99</v>
      </c>
      <c r="D296" s="291" t="s">
        <v>4454</v>
      </c>
      <c r="E296" s="832" t="s">
        <v>4531</v>
      </c>
      <c r="F296" s="833"/>
      <c r="G296" s="834"/>
      <c r="H296" s="878" t="s">
        <v>5669</v>
      </c>
      <c r="I296" s="836"/>
      <c r="J296" s="837"/>
      <c r="K296" s="838"/>
      <c r="L296" s="839"/>
      <c r="M296" s="840"/>
      <c r="N296" s="841"/>
      <c r="O296" s="842">
        <v>350000</v>
      </c>
      <c r="P296" s="843"/>
      <c r="Q296" s="844">
        <f>R296+S296</f>
        <v>0</v>
      </c>
      <c r="R296" s="845"/>
      <c r="S296" s="846"/>
      <c r="T296" s="847"/>
      <c r="U296" s="848">
        <v>0</v>
      </c>
      <c r="V296" s="849"/>
      <c r="W296" s="850"/>
      <c r="X296" s="851"/>
      <c r="Y296" s="853"/>
      <c r="Z296" s="853"/>
      <c r="AA296" s="854">
        <f>Q296+AB296-AJ296</f>
        <v>0</v>
      </c>
      <c r="AB296" s="855">
        <f>SUM(AE296:AH296)-AG296+AJ296</f>
        <v>0</v>
      </c>
      <c r="AC296" s="855"/>
      <c r="AD296" s="856">
        <f t="shared" si="122"/>
        <v>0</v>
      </c>
      <c r="AE296" s="857"/>
      <c r="AF296" s="858"/>
      <c r="AG296" s="858"/>
      <c r="AH296" s="858"/>
      <c r="AI296" s="859"/>
      <c r="AJ296" s="860"/>
      <c r="AK296" s="861">
        <f>SUM(AE296:AJ296)</f>
        <v>0</v>
      </c>
      <c r="AL296" s="862"/>
      <c r="AM296" s="308" t="str">
        <f t="shared" si="123"/>
        <v/>
      </c>
      <c r="AN296" s="369" t="str">
        <f t="shared" si="118"/>
        <v/>
      </c>
      <c r="AO296" s="291" t="s">
        <v>4454</v>
      </c>
      <c r="AR296" s="47">
        <f>U301</f>
        <v>0</v>
      </c>
      <c r="AS296" s="54"/>
      <c r="AT296" s="55"/>
      <c r="AU296" s="56"/>
      <c r="AV296" s="57" t="e">
        <f>#REF!-#REF!</f>
        <v>#REF!</v>
      </c>
    </row>
    <row r="297" spans="1:48" ht="16.5" customHeight="1" outlineLevel="2" thickBot="1">
      <c r="A297" s="291">
        <v>2201</v>
      </c>
      <c r="B297" s="818" t="s">
        <v>4530</v>
      </c>
      <c r="C297" s="458">
        <v>99</v>
      </c>
      <c r="D297" s="291">
        <v>2201</v>
      </c>
      <c r="E297" s="863" t="s">
        <v>4603</v>
      </c>
      <c r="F297" s="428" t="s">
        <v>4589</v>
      </c>
      <c r="G297" s="409"/>
      <c r="H297" s="879" t="s">
        <v>5670</v>
      </c>
      <c r="I297" s="411">
        <v>22</v>
      </c>
      <c r="J297" s="459" t="s">
        <v>4598</v>
      </c>
      <c r="K297" s="437"/>
      <c r="L297" s="413"/>
      <c r="M297" s="414"/>
      <c r="N297" s="415"/>
      <c r="O297" s="280">
        <v>-1900000</v>
      </c>
      <c r="P297" s="465"/>
      <c r="Q297" s="263">
        <f>R297+S297-AB297</f>
        <v>-2430000</v>
      </c>
      <c r="R297" s="284">
        <f>1750000+2310000+2310000</f>
        <v>6370000</v>
      </c>
      <c r="S297" s="285"/>
      <c r="T297" s="466"/>
      <c r="U297" s="544">
        <v>-2400000</v>
      </c>
      <c r="V297" s="44"/>
      <c r="W297" s="44"/>
      <c r="X297" s="132"/>
      <c r="Y297" s="46"/>
      <c r="Z297" s="46"/>
      <c r="AA297" s="47">
        <f t="shared" ref="AA297:AA302" si="124">Q297+AB297-AJ297+AJ297</f>
        <v>6370000</v>
      </c>
      <c r="AB297" s="48">
        <f>SUM(AE297:AH297)-AG297+AJ297</f>
        <v>8800000</v>
      </c>
      <c r="AC297" s="265"/>
      <c r="AD297" s="424">
        <f t="shared" si="122"/>
        <v>15170000</v>
      </c>
      <c r="AE297" s="49"/>
      <c r="AF297" s="50"/>
      <c r="AG297" s="50"/>
      <c r="AH297" s="76"/>
      <c r="AI297" s="170">
        <f>+R297</f>
        <v>6370000</v>
      </c>
      <c r="AJ297" s="213">
        <f>2200000+3300000*2</f>
        <v>8800000</v>
      </c>
      <c r="AK297" s="462"/>
      <c r="AL297" s="442" t="s">
        <v>4542</v>
      </c>
      <c r="AM297" s="308" t="str">
        <f t="shared" si="123"/>
        <v>2201</v>
      </c>
      <c r="AN297" s="369" t="str">
        <f t="shared" si="118"/>
        <v>2201</v>
      </c>
      <c r="AO297" s="291">
        <v>2201</v>
      </c>
      <c r="AR297" s="47">
        <f>AB297+U303</f>
        <v>8900000</v>
      </c>
      <c r="AS297" s="54">
        <v>12500000</v>
      </c>
      <c r="AT297" s="55"/>
      <c r="AU297" s="56"/>
      <c r="AV297" s="57" t="e">
        <f>#REF!-#REF!</f>
        <v>#REF!</v>
      </c>
    </row>
    <row r="298" spans="1:48" ht="16.5" customHeight="1" outlineLevel="2" thickBot="1">
      <c r="A298" s="291">
        <v>2202</v>
      </c>
      <c r="B298" s="818" t="s">
        <v>4530</v>
      </c>
      <c r="C298" s="458">
        <v>99</v>
      </c>
      <c r="D298" s="291">
        <v>2202</v>
      </c>
      <c r="E298" s="863" t="s">
        <v>4603</v>
      </c>
      <c r="F298" s="428" t="s">
        <v>4589</v>
      </c>
      <c r="G298" s="409"/>
      <c r="H298" s="429" t="s">
        <v>5671</v>
      </c>
      <c r="I298" s="411">
        <v>22</v>
      </c>
      <c r="J298" s="459" t="s">
        <v>4604</v>
      </c>
      <c r="K298" s="437"/>
      <c r="L298" s="413"/>
      <c r="M298" s="414"/>
      <c r="N298" s="415"/>
      <c r="O298" s="280">
        <v>-5777000</v>
      </c>
      <c r="P298" s="465"/>
      <c r="Q298" s="263">
        <f>R298+S298-AB298</f>
        <v>-11600000</v>
      </c>
      <c r="R298" s="284">
        <f>2250000*2+3900000</f>
        <v>8400000</v>
      </c>
      <c r="S298" s="285"/>
      <c r="T298" s="466"/>
      <c r="U298" s="544">
        <v>-9500000</v>
      </c>
      <c r="V298" s="44"/>
      <c r="W298" s="44"/>
      <c r="X298" s="132"/>
      <c r="Y298" s="46"/>
      <c r="Z298" s="46"/>
      <c r="AA298" s="47">
        <f t="shared" si="124"/>
        <v>8400000</v>
      </c>
      <c r="AB298" s="48">
        <f>SUM(AE298:AH298)-AG298+AJ298</f>
        <v>20000000</v>
      </c>
      <c r="AC298" s="265"/>
      <c r="AD298" s="424">
        <f t="shared" si="122"/>
        <v>28400000</v>
      </c>
      <c r="AE298" s="49"/>
      <c r="AF298" s="50"/>
      <c r="AG298" s="50"/>
      <c r="AH298" s="76"/>
      <c r="AI298" s="170">
        <f>+R298</f>
        <v>8400000</v>
      </c>
      <c r="AJ298" s="213">
        <f>7000000*2+6000000</f>
        <v>20000000</v>
      </c>
      <c r="AK298" s="462"/>
      <c r="AL298" s="442" t="s">
        <v>4542</v>
      </c>
      <c r="AM298" s="308" t="str">
        <f t="shared" si="123"/>
        <v>2202</v>
      </c>
      <c r="AN298" s="369" t="str">
        <f t="shared" si="118"/>
        <v>2202</v>
      </c>
      <c r="AO298" s="291">
        <v>2202</v>
      </c>
      <c r="AR298" s="47">
        <f>AB298+U307</f>
        <v>20200000</v>
      </c>
      <c r="AS298" s="54">
        <v>8000000</v>
      </c>
      <c r="AT298" s="55"/>
      <c r="AU298" s="56"/>
      <c r="AV298" s="57" t="e">
        <f>#REF!-#REF!</f>
        <v>#REF!</v>
      </c>
    </row>
    <row r="299" spans="1:48" ht="16.5" customHeight="1" outlineLevel="2" thickBot="1">
      <c r="A299" s="291" t="s">
        <v>4454</v>
      </c>
      <c r="B299" s="830"/>
      <c r="C299" s="831">
        <v>99</v>
      </c>
      <c r="D299" s="291" t="s">
        <v>4454</v>
      </c>
      <c r="E299" s="832" t="s">
        <v>4605</v>
      </c>
      <c r="F299" s="833"/>
      <c r="G299" s="834"/>
      <c r="H299" s="835" t="s">
        <v>5672</v>
      </c>
      <c r="I299" s="836"/>
      <c r="J299" s="837"/>
      <c r="K299" s="838"/>
      <c r="L299" s="839"/>
      <c r="M299" s="840"/>
      <c r="N299" s="841"/>
      <c r="O299" s="842">
        <v>-2800000</v>
      </c>
      <c r="P299" s="843"/>
      <c r="Q299" s="844">
        <f t="shared" ref="Q299:Q302" si="125">R299+S299-AB299</f>
        <v>0</v>
      </c>
      <c r="R299" s="845"/>
      <c r="S299" s="846"/>
      <c r="T299" s="847"/>
      <c r="U299" s="848">
        <v>-2800000</v>
      </c>
      <c r="V299" s="850"/>
      <c r="W299" s="850"/>
      <c r="X299" s="875"/>
      <c r="Y299" s="853"/>
      <c r="Z299" s="853"/>
      <c r="AA299" s="854">
        <f t="shared" si="124"/>
        <v>0</v>
      </c>
      <c r="AB299" s="855">
        <f>SUM(AE299:AH299)+AJ299</f>
        <v>0</v>
      </c>
      <c r="AC299" s="855"/>
      <c r="AD299" s="856">
        <f t="shared" si="122"/>
        <v>0</v>
      </c>
      <c r="AE299" s="857"/>
      <c r="AF299" s="858"/>
      <c r="AG299" s="858"/>
      <c r="AH299" s="858"/>
      <c r="AI299" s="880">
        <f>+R299</f>
        <v>0</v>
      </c>
      <c r="AJ299" s="860"/>
      <c r="AK299" s="861"/>
      <c r="AL299" s="877" t="s">
        <v>5673</v>
      </c>
      <c r="AM299" s="308" t="str">
        <f t="shared" si="123"/>
        <v/>
      </c>
      <c r="AN299" s="369" t="str">
        <f t="shared" si="118"/>
        <v/>
      </c>
      <c r="AO299" s="291" t="s">
        <v>4454</v>
      </c>
      <c r="AR299" s="47">
        <f>U310-AB299</f>
        <v>17100000</v>
      </c>
      <c r="AS299" s="54"/>
      <c r="AT299" s="55"/>
      <c r="AU299" s="56"/>
      <c r="AV299" s="57" t="e">
        <f>#REF!-#REF!</f>
        <v>#REF!</v>
      </c>
    </row>
    <row r="300" spans="1:48" customFormat="1" ht="16.5" customHeight="1" outlineLevel="2" thickBot="1">
      <c r="A300" s="542">
        <v>2203</v>
      </c>
      <c r="B300" s="818" t="s">
        <v>4530</v>
      </c>
      <c r="C300" s="458">
        <v>99</v>
      </c>
      <c r="D300" s="542">
        <v>2203</v>
      </c>
      <c r="E300" s="863" t="s">
        <v>4603</v>
      </c>
      <c r="F300" s="428" t="s">
        <v>4589</v>
      </c>
      <c r="G300" s="409"/>
      <c r="H300" s="429" t="s">
        <v>5674</v>
      </c>
      <c r="I300" s="411">
        <v>22</v>
      </c>
      <c r="J300" s="459" t="s">
        <v>4501</v>
      </c>
      <c r="K300" s="437"/>
      <c r="L300" s="413"/>
      <c r="M300" s="414"/>
      <c r="N300" s="415"/>
      <c r="O300" s="280">
        <v>0</v>
      </c>
      <c r="P300" s="465"/>
      <c r="Q300" s="263">
        <f t="shared" si="125"/>
        <v>0</v>
      </c>
      <c r="R300" s="284">
        <v>400000</v>
      </c>
      <c r="S300" s="285"/>
      <c r="T300" s="466"/>
      <c r="U300" s="544">
        <v>0</v>
      </c>
      <c r="V300" s="43"/>
      <c r="W300" s="44"/>
      <c r="X300" s="132"/>
      <c r="Y300" s="46"/>
      <c r="Z300" s="46"/>
      <c r="AA300" s="47">
        <f t="shared" si="124"/>
        <v>400000</v>
      </c>
      <c r="AB300" s="48">
        <f>SUM(AE300:AH300)+AI300</f>
        <v>400000</v>
      </c>
      <c r="AC300" s="265"/>
      <c r="AD300" s="424">
        <f t="shared" si="122"/>
        <v>800000</v>
      </c>
      <c r="AE300" s="49"/>
      <c r="AF300" s="50"/>
      <c r="AG300" s="50"/>
      <c r="AH300" s="50"/>
      <c r="AI300" s="77">
        <v>400000</v>
      </c>
      <c r="AJ300" s="52">
        <v>400000</v>
      </c>
      <c r="AK300" s="462"/>
      <c r="AL300" s="442" t="s">
        <v>4606</v>
      </c>
      <c r="AM300" s="308" t="str">
        <f t="shared" si="123"/>
        <v>2203</v>
      </c>
      <c r="AN300" s="369" t="str">
        <f t="shared" si="118"/>
        <v>2203</v>
      </c>
      <c r="AO300" s="542">
        <v>2203</v>
      </c>
      <c r="AP300" s="542"/>
      <c r="AR300" s="168">
        <f>U302-AB300</f>
        <v>-400000</v>
      </c>
      <c r="AS300" s="54"/>
      <c r="AT300" s="55"/>
      <c r="AU300" s="41"/>
      <c r="AV300" s="57" t="e">
        <f>#REF!-#REF!</f>
        <v>#REF!</v>
      </c>
    </row>
    <row r="301" spans="1:48" ht="16.5" customHeight="1" outlineLevel="2" thickBot="1">
      <c r="A301" s="291" t="s">
        <v>4454</v>
      </c>
      <c r="B301" s="830"/>
      <c r="C301" s="831">
        <v>99</v>
      </c>
      <c r="D301" s="291" t="s">
        <v>4454</v>
      </c>
      <c r="E301" s="832" t="s">
        <v>4603</v>
      </c>
      <c r="F301" s="833"/>
      <c r="G301" s="834"/>
      <c r="H301" s="835" t="s">
        <v>5675</v>
      </c>
      <c r="I301" s="836"/>
      <c r="J301" s="837"/>
      <c r="K301" s="838"/>
      <c r="L301" s="839"/>
      <c r="M301" s="840"/>
      <c r="N301" s="841"/>
      <c r="O301" s="842">
        <v>0</v>
      </c>
      <c r="P301" s="843"/>
      <c r="Q301" s="844">
        <f t="shared" si="125"/>
        <v>0</v>
      </c>
      <c r="R301" s="845"/>
      <c r="S301" s="846"/>
      <c r="T301" s="847"/>
      <c r="U301" s="848">
        <v>0</v>
      </c>
      <c r="V301" s="850"/>
      <c r="W301" s="850"/>
      <c r="X301" s="875"/>
      <c r="Y301" s="853"/>
      <c r="Z301" s="853"/>
      <c r="AA301" s="854">
        <f t="shared" si="124"/>
        <v>0</v>
      </c>
      <c r="AB301" s="855">
        <f>SUM(AE301:AH301)+AI301+AJ301</f>
        <v>0</v>
      </c>
      <c r="AC301" s="855"/>
      <c r="AD301" s="856">
        <f t="shared" si="122"/>
        <v>0</v>
      </c>
      <c r="AE301" s="857"/>
      <c r="AF301" s="858"/>
      <c r="AG301" s="858"/>
      <c r="AH301" s="858"/>
      <c r="AI301" s="880"/>
      <c r="AJ301" s="860">
        <f>+S301</f>
        <v>0</v>
      </c>
      <c r="AK301" s="861"/>
      <c r="AL301" s="877"/>
      <c r="AM301" s="308" t="str">
        <f t="shared" si="123"/>
        <v/>
      </c>
      <c r="AN301" s="369" t="str">
        <f t="shared" si="118"/>
        <v/>
      </c>
      <c r="AO301" s="291" t="s">
        <v>4454</v>
      </c>
      <c r="AR301" s="47" t="e">
        <f>#REF!</f>
        <v>#REF!</v>
      </c>
      <c r="AS301" s="54">
        <v>3000000</v>
      </c>
      <c r="AT301" s="55"/>
      <c r="AU301" s="56"/>
      <c r="AV301" s="57" t="e">
        <f>#REF!-#REF!</f>
        <v>#REF!</v>
      </c>
    </row>
    <row r="302" spans="1:48" ht="16.5" customHeight="1" outlineLevel="2" thickBot="1">
      <c r="A302" s="291">
        <v>2204</v>
      </c>
      <c r="B302" s="818" t="s">
        <v>4530</v>
      </c>
      <c r="C302" s="458">
        <v>99</v>
      </c>
      <c r="D302" s="291">
        <v>2204</v>
      </c>
      <c r="E302" s="863" t="s">
        <v>4603</v>
      </c>
      <c r="F302" s="428" t="s">
        <v>4589</v>
      </c>
      <c r="G302" s="409"/>
      <c r="H302" s="429" t="s">
        <v>5676</v>
      </c>
      <c r="I302" s="411">
        <v>22</v>
      </c>
      <c r="J302" s="459" t="s">
        <v>4517</v>
      </c>
      <c r="K302" s="437"/>
      <c r="L302" s="413"/>
      <c r="M302" s="414"/>
      <c r="N302" s="415"/>
      <c r="O302" s="280">
        <v>0</v>
      </c>
      <c r="P302" s="465"/>
      <c r="Q302" s="263">
        <f t="shared" si="125"/>
        <v>0</v>
      </c>
      <c r="R302" s="284"/>
      <c r="S302" s="285"/>
      <c r="T302" s="466"/>
      <c r="U302" s="544">
        <v>0</v>
      </c>
      <c r="V302" s="44"/>
      <c r="W302" s="44"/>
      <c r="X302" s="132"/>
      <c r="Y302" s="46"/>
      <c r="Z302" s="46"/>
      <c r="AA302" s="47">
        <f t="shared" si="124"/>
        <v>0</v>
      </c>
      <c r="AB302" s="48">
        <f>SUM(AE302:AH302)-AG302+AJ302</f>
        <v>0</v>
      </c>
      <c r="AC302" s="265"/>
      <c r="AD302" s="424">
        <f t="shared" si="122"/>
        <v>0</v>
      </c>
      <c r="AE302" s="49"/>
      <c r="AF302" s="50"/>
      <c r="AG302" s="50"/>
      <c r="AH302" s="50"/>
      <c r="AI302" s="170">
        <f>+R302</f>
        <v>0</v>
      </c>
      <c r="AJ302" s="52"/>
      <c r="AK302" s="462"/>
      <c r="AL302" s="442"/>
      <c r="AM302" s="308" t="str">
        <f t="shared" si="123"/>
        <v>2204</v>
      </c>
      <c r="AN302" s="369" t="str">
        <f t="shared" si="118"/>
        <v>2204</v>
      </c>
      <c r="AO302" s="291">
        <v>2204</v>
      </c>
      <c r="AR302" s="47" t="e">
        <f>#REF!</f>
        <v>#REF!</v>
      </c>
      <c r="AS302" s="54">
        <v>3000000</v>
      </c>
      <c r="AT302" s="55"/>
      <c r="AU302" s="56"/>
      <c r="AV302" s="57" t="e">
        <f>#REF!-#REF!</f>
        <v>#REF!</v>
      </c>
    </row>
    <row r="303" spans="1:48" ht="16.5" customHeight="1" outlineLevel="2" thickBot="1">
      <c r="A303" s="291">
        <v>2301</v>
      </c>
      <c r="B303" s="818" t="s">
        <v>4530</v>
      </c>
      <c r="C303" s="458">
        <v>99</v>
      </c>
      <c r="D303" s="291">
        <v>2301</v>
      </c>
      <c r="E303" s="881" t="s">
        <v>4534</v>
      </c>
      <c r="F303" s="428" t="s">
        <v>4589</v>
      </c>
      <c r="G303" s="409"/>
      <c r="H303" s="483" t="s">
        <v>5677</v>
      </c>
      <c r="I303" s="882">
        <v>23</v>
      </c>
      <c r="J303" s="883" t="s">
        <v>4598</v>
      </c>
      <c r="K303" s="460">
        <v>4</v>
      </c>
      <c r="L303" s="884"/>
      <c r="M303" s="414"/>
      <c r="N303" s="885"/>
      <c r="O303" s="280">
        <v>100000</v>
      </c>
      <c r="P303" s="465"/>
      <c r="Q303" s="263">
        <f>R303+S303</f>
        <v>100000</v>
      </c>
      <c r="R303" s="284"/>
      <c r="S303" s="59">
        <v>100000</v>
      </c>
      <c r="T303" s="466"/>
      <c r="U303" s="544">
        <v>100000</v>
      </c>
      <c r="V303" s="43"/>
      <c r="W303" s="44"/>
      <c r="X303" s="58" t="s">
        <v>4506</v>
      </c>
      <c r="Y303" s="46"/>
      <c r="Z303" s="46"/>
      <c r="AA303" s="47">
        <f t="shared" ref="AA303:AA311" si="126">Q303+AB303-AJ303</f>
        <v>100000</v>
      </c>
      <c r="AB303" s="48">
        <f>SUM(AE303:AI303)</f>
        <v>100000</v>
      </c>
      <c r="AC303" s="265"/>
      <c r="AD303" s="873">
        <f t="shared" si="122"/>
        <v>200000</v>
      </c>
      <c r="AE303" s="49"/>
      <c r="AF303" s="50"/>
      <c r="AG303" s="50"/>
      <c r="AH303" s="50"/>
      <c r="AI303" s="170">
        <f>+S303</f>
        <v>100000</v>
      </c>
      <c r="AJ303" s="52">
        <f>+S303</f>
        <v>100000</v>
      </c>
      <c r="AK303" s="462"/>
      <c r="AL303" s="396" t="s">
        <v>5462</v>
      </c>
      <c r="AM303" s="308" t="str">
        <f t="shared" si="123"/>
        <v>2301</v>
      </c>
      <c r="AN303" s="369" t="str">
        <f t="shared" si="118"/>
        <v>2301</v>
      </c>
      <c r="AO303" s="291">
        <v>2301</v>
      </c>
      <c r="AR303" s="47">
        <f>U311</f>
        <v>220000</v>
      </c>
      <c r="AS303" s="54"/>
      <c r="AT303" s="55"/>
      <c r="AU303" s="56"/>
      <c r="AV303" s="57" t="e">
        <f>#REF!-#REF!</f>
        <v>#REF!</v>
      </c>
    </row>
    <row r="304" spans="1:48" ht="16.5" customHeight="1" outlineLevel="2" thickBot="1">
      <c r="A304" s="291" t="s">
        <v>4454</v>
      </c>
      <c r="B304" s="818" t="s">
        <v>4530</v>
      </c>
      <c r="C304" s="458">
        <v>99</v>
      </c>
      <c r="D304" s="291" t="s">
        <v>4454</v>
      </c>
      <c r="E304" s="886" t="s">
        <v>0</v>
      </c>
      <c r="F304" s="428" t="s">
        <v>4589</v>
      </c>
      <c r="G304" s="409"/>
      <c r="H304" s="543" t="s">
        <v>5678</v>
      </c>
      <c r="I304" s="882">
        <v>24</v>
      </c>
      <c r="J304" s="883" t="s">
        <v>4598</v>
      </c>
      <c r="K304" s="437"/>
      <c r="L304" s="884"/>
      <c r="M304" s="414"/>
      <c r="N304" s="885"/>
      <c r="O304" s="280">
        <v>-100000</v>
      </c>
      <c r="P304" s="465"/>
      <c r="Q304" s="263">
        <f>R304+S304-AB304</f>
        <v>-100000</v>
      </c>
      <c r="R304" s="284"/>
      <c r="S304" s="285"/>
      <c r="T304" s="466"/>
      <c r="U304" s="544">
        <v>-100000</v>
      </c>
      <c r="V304" s="44"/>
      <c r="W304" s="44"/>
      <c r="X304" s="132"/>
      <c r="Y304" s="46"/>
      <c r="Z304" s="46"/>
      <c r="AA304" s="47">
        <f t="shared" si="126"/>
        <v>0</v>
      </c>
      <c r="AB304" s="48">
        <f>SUM(AE304:AI304)</f>
        <v>100000</v>
      </c>
      <c r="AC304" s="265"/>
      <c r="AD304" s="873">
        <f t="shared" si="122"/>
        <v>100000</v>
      </c>
      <c r="AE304" s="49"/>
      <c r="AF304" s="50"/>
      <c r="AG304" s="50"/>
      <c r="AH304" s="50"/>
      <c r="AI304" s="77">
        <v>100000</v>
      </c>
      <c r="AJ304" s="52"/>
      <c r="AK304" s="462"/>
      <c r="AL304" s="442"/>
      <c r="AM304" s="308" t="str">
        <f t="shared" si="123"/>
        <v>2401</v>
      </c>
      <c r="AN304" s="306" t="s">
        <v>4454</v>
      </c>
      <c r="AO304" s="291" t="s">
        <v>4454</v>
      </c>
      <c r="AR304" s="47">
        <f>AB304+U329</f>
        <v>850000</v>
      </c>
      <c r="AS304" s="54"/>
      <c r="AT304" s="55"/>
      <c r="AU304" s="56"/>
      <c r="AV304" s="57" t="e">
        <f>#REF!-#REF!</f>
        <v>#REF!</v>
      </c>
    </row>
    <row r="305" spans="1:48" ht="16.5" customHeight="1" outlineLevel="2">
      <c r="A305" s="291">
        <v>2</v>
      </c>
      <c r="B305" s="818" t="s">
        <v>4530</v>
      </c>
      <c r="C305" s="458">
        <v>99</v>
      </c>
      <c r="D305" s="291">
        <v>2</v>
      </c>
      <c r="E305" s="863" t="s">
        <v>4605</v>
      </c>
      <c r="F305" s="428" t="s">
        <v>4589</v>
      </c>
      <c r="G305" s="409"/>
      <c r="H305" s="429" t="s">
        <v>5629</v>
      </c>
      <c r="I305" s="411">
        <v>2</v>
      </c>
      <c r="J305" s="459"/>
      <c r="K305" s="437"/>
      <c r="L305" s="413"/>
      <c r="M305" s="414"/>
      <c r="N305" s="415"/>
      <c r="O305" s="280">
        <v>680000</v>
      </c>
      <c r="P305" s="465"/>
      <c r="Q305" s="263">
        <f t="shared" ref="Q305:Q311" si="127">R305+S305</f>
        <v>540000</v>
      </c>
      <c r="R305" s="284">
        <v>540000</v>
      </c>
      <c r="S305" s="285"/>
      <c r="T305" s="466"/>
      <c r="U305" s="544">
        <v>520000</v>
      </c>
      <c r="V305" s="44"/>
      <c r="W305" s="44"/>
      <c r="X305" s="132"/>
      <c r="Y305" s="46"/>
      <c r="Z305" s="46"/>
      <c r="AA305" s="47">
        <f t="shared" si="126"/>
        <v>540000</v>
      </c>
      <c r="AB305" s="48">
        <f>SUM(AE305:AI305)</f>
        <v>0</v>
      </c>
      <c r="AC305" s="265"/>
      <c r="AD305" s="424">
        <f t="shared" si="122"/>
        <v>0</v>
      </c>
      <c r="AE305" s="49"/>
      <c r="AF305" s="50"/>
      <c r="AG305" s="50"/>
      <c r="AH305" s="50"/>
      <c r="AI305" s="51"/>
      <c r="AJ305" s="52"/>
      <c r="AK305" s="462"/>
      <c r="AL305" s="442" t="s">
        <v>4607</v>
      </c>
      <c r="AM305" s="308" t="str">
        <f t="shared" si="123"/>
        <v>2</v>
      </c>
      <c r="AN305" s="369" t="str">
        <f t="shared" ref="AN305:AN311" si="128">I305&amp;J305</f>
        <v>2</v>
      </c>
      <c r="AO305" s="291">
        <v>2</v>
      </c>
      <c r="AR305" s="47">
        <f>U311-AB305</f>
        <v>220000</v>
      </c>
      <c r="AS305" s="54"/>
      <c r="AT305" s="55"/>
      <c r="AU305" s="56"/>
      <c r="AV305" s="57" t="e">
        <f>#REF!-#REF!</f>
        <v>#REF!</v>
      </c>
    </row>
    <row r="306" spans="1:48" ht="20.25" customHeight="1" outlineLevel="2">
      <c r="A306" s="291">
        <v>3291</v>
      </c>
      <c r="B306" s="818" t="s">
        <v>4608</v>
      </c>
      <c r="C306" s="458">
        <v>99</v>
      </c>
      <c r="D306" s="291">
        <v>3291</v>
      </c>
      <c r="E306" s="863" t="s">
        <v>4609</v>
      </c>
      <c r="F306" s="428" t="s">
        <v>4589</v>
      </c>
      <c r="G306" s="409"/>
      <c r="H306" s="429" t="s">
        <v>5679</v>
      </c>
      <c r="I306" s="411">
        <v>32</v>
      </c>
      <c r="J306" s="459" t="s">
        <v>4592</v>
      </c>
      <c r="K306" s="437"/>
      <c r="L306" s="413"/>
      <c r="M306" s="414"/>
      <c r="N306" s="415"/>
      <c r="O306" s="280">
        <v>1500000</v>
      </c>
      <c r="P306" s="465"/>
      <c r="Q306" s="263">
        <f t="shared" si="127"/>
        <v>1500000</v>
      </c>
      <c r="R306" s="284">
        <v>1500000</v>
      </c>
      <c r="S306" s="285"/>
      <c r="T306" s="466"/>
      <c r="U306" s="544">
        <v>1500000</v>
      </c>
      <c r="V306" s="44"/>
      <c r="W306" s="44"/>
      <c r="X306" s="132"/>
      <c r="Y306" s="46"/>
      <c r="Z306" s="46"/>
      <c r="AA306" s="47">
        <f t="shared" si="126"/>
        <v>1500000</v>
      </c>
      <c r="AB306" s="48">
        <f>SUM(AE306:AI306)</f>
        <v>0</v>
      </c>
      <c r="AC306" s="265"/>
      <c r="AD306" s="424">
        <f t="shared" si="122"/>
        <v>0</v>
      </c>
      <c r="AE306" s="49"/>
      <c r="AF306" s="50"/>
      <c r="AG306" s="50"/>
      <c r="AH306" s="50"/>
      <c r="AI306" s="51"/>
      <c r="AJ306" s="52"/>
      <c r="AK306" s="462"/>
      <c r="AL306" s="442" t="s">
        <v>4601</v>
      </c>
      <c r="AM306" s="308" t="str">
        <f t="shared" si="123"/>
        <v>3291</v>
      </c>
      <c r="AN306" s="369" t="str">
        <f t="shared" si="128"/>
        <v>3291</v>
      </c>
      <c r="AO306" s="291">
        <v>3291</v>
      </c>
      <c r="AR306" s="47">
        <f>U312-AB306</f>
        <v>0</v>
      </c>
      <c r="AS306" s="54"/>
      <c r="AT306" s="55"/>
      <c r="AU306" s="56"/>
      <c r="AV306" s="57" t="e">
        <f>#REF!-#REF!</f>
        <v>#REF!</v>
      </c>
    </row>
    <row r="307" spans="1:48" ht="16.5" customHeight="1" outlineLevel="2" thickBot="1">
      <c r="A307" s="291">
        <v>3</v>
      </c>
      <c r="B307" s="818" t="s">
        <v>4608</v>
      </c>
      <c r="C307" s="458">
        <v>99</v>
      </c>
      <c r="D307" s="291">
        <v>3</v>
      </c>
      <c r="E307" s="863" t="s">
        <v>4610</v>
      </c>
      <c r="F307" s="428" t="s">
        <v>4589</v>
      </c>
      <c r="G307" s="409"/>
      <c r="H307" s="429" t="s">
        <v>5629</v>
      </c>
      <c r="I307" s="411">
        <v>3</v>
      </c>
      <c r="J307" s="459"/>
      <c r="K307" s="437"/>
      <c r="L307" s="413"/>
      <c r="M307" s="414"/>
      <c r="N307" s="415"/>
      <c r="O307" s="280">
        <v>264000</v>
      </c>
      <c r="P307" s="465"/>
      <c r="Q307" s="263">
        <f t="shared" si="127"/>
        <v>200000</v>
      </c>
      <c r="R307" s="284">
        <v>200000</v>
      </c>
      <c r="S307" s="285"/>
      <c r="T307" s="466"/>
      <c r="U307" s="544">
        <v>200000</v>
      </c>
      <c r="V307" s="44"/>
      <c r="W307" s="44"/>
      <c r="X307" s="132"/>
      <c r="Y307" s="46"/>
      <c r="Z307" s="46"/>
      <c r="AA307" s="47">
        <f t="shared" si="126"/>
        <v>200000</v>
      </c>
      <c r="AB307" s="48">
        <f>SUM(AE307:AI307)</f>
        <v>0</v>
      </c>
      <c r="AC307" s="265"/>
      <c r="AD307" s="424">
        <f t="shared" si="122"/>
        <v>0</v>
      </c>
      <c r="AE307" s="49"/>
      <c r="AF307" s="50"/>
      <c r="AG307" s="50"/>
      <c r="AH307" s="84"/>
      <c r="AI307" s="51"/>
      <c r="AJ307" s="52"/>
      <c r="AK307" s="462"/>
      <c r="AL307" s="442"/>
      <c r="AM307" s="308" t="str">
        <f t="shared" si="123"/>
        <v>3</v>
      </c>
      <c r="AN307" s="369" t="str">
        <f t="shared" si="128"/>
        <v>3</v>
      </c>
      <c r="AO307" s="291">
        <v>3</v>
      </c>
      <c r="AR307" s="47" t="e">
        <f>#REF!-AB307</f>
        <v>#REF!</v>
      </c>
      <c r="AS307" s="54"/>
      <c r="AT307" s="55"/>
      <c r="AU307" s="56"/>
      <c r="AV307" s="57" t="e">
        <f>#REF!-#REF!</f>
        <v>#REF!</v>
      </c>
    </row>
    <row r="308" spans="1:48" ht="16.5" customHeight="1" outlineLevel="2" thickBot="1">
      <c r="A308" s="291">
        <v>4191</v>
      </c>
      <c r="B308" s="818" t="s">
        <v>4611</v>
      </c>
      <c r="C308" s="458">
        <v>99</v>
      </c>
      <c r="D308" s="291">
        <v>4191</v>
      </c>
      <c r="E308" s="881" t="s">
        <v>4612</v>
      </c>
      <c r="F308" s="428" t="s">
        <v>4589</v>
      </c>
      <c r="G308" s="409"/>
      <c r="H308" s="819" t="s">
        <v>5680</v>
      </c>
      <c r="I308" s="882">
        <v>41</v>
      </c>
      <c r="J308" s="883" t="s">
        <v>4592</v>
      </c>
      <c r="K308" s="460">
        <v>79</v>
      </c>
      <c r="L308" s="413"/>
      <c r="M308" s="414"/>
      <c r="N308" s="885"/>
      <c r="O308" s="280">
        <v>13544000</v>
      </c>
      <c r="P308" s="465"/>
      <c r="Q308" s="263">
        <f>R308+S308</f>
        <v>38470000</v>
      </c>
      <c r="R308" s="284">
        <f>AA308-S308</f>
        <v>30909544</v>
      </c>
      <c r="S308" s="59">
        <v>7560456</v>
      </c>
      <c r="T308" s="466"/>
      <c r="U308" s="544">
        <v>10550000</v>
      </c>
      <c r="V308" s="44"/>
      <c r="W308" s="44"/>
      <c r="X308" s="58" t="s">
        <v>4506</v>
      </c>
      <c r="Y308" s="46"/>
      <c r="Z308" s="46"/>
      <c r="AA308" s="47">
        <f>AB308-AI308</f>
        <v>38470000</v>
      </c>
      <c r="AB308" s="48">
        <f>SUM(AE308:AH308)+AJ308</f>
        <v>22860456</v>
      </c>
      <c r="AC308" s="265"/>
      <c r="AD308" s="873">
        <f t="shared" si="122"/>
        <v>7250912</v>
      </c>
      <c r="AE308" s="49">
        <v>15300000</v>
      </c>
      <c r="AF308" s="50"/>
      <c r="AG308" s="76"/>
      <c r="AH308" s="214"/>
      <c r="AI308" s="170">
        <v>-15609544</v>
      </c>
      <c r="AJ308" s="213">
        <f>+S308</f>
        <v>7560456</v>
      </c>
      <c r="AK308" s="462"/>
      <c r="AL308" s="396" t="s">
        <v>5456</v>
      </c>
      <c r="AM308" s="308" t="str">
        <f t="shared" si="123"/>
        <v>4191</v>
      </c>
      <c r="AN308" s="369" t="str">
        <f t="shared" si="128"/>
        <v>4191</v>
      </c>
      <c r="AO308" s="291">
        <v>4191</v>
      </c>
      <c r="AR308" s="47">
        <f>U316-AB308</f>
        <v>-22890456</v>
      </c>
      <c r="AS308" s="54"/>
      <c r="AT308" s="55"/>
      <c r="AU308" s="56"/>
      <c r="AV308" s="57" t="e">
        <f>#REF!-#REF!</f>
        <v>#REF!</v>
      </c>
    </row>
    <row r="309" spans="1:48" ht="16.5" customHeight="1" outlineLevel="2">
      <c r="A309" s="291">
        <v>4192</v>
      </c>
      <c r="B309" s="830"/>
      <c r="C309" s="831">
        <v>99</v>
      </c>
      <c r="D309" s="291">
        <v>4192</v>
      </c>
      <c r="E309" s="887" t="s">
        <v>4612</v>
      </c>
      <c r="F309" s="833"/>
      <c r="G309" s="834"/>
      <c r="H309" s="835" t="s">
        <v>5681</v>
      </c>
      <c r="I309" s="888"/>
      <c r="J309" s="889"/>
      <c r="K309" s="838"/>
      <c r="L309" s="839"/>
      <c r="M309" s="840"/>
      <c r="N309" s="890"/>
      <c r="O309" s="842">
        <v>3000000</v>
      </c>
      <c r="P309" s="843"/>
      <c r="Q309" s="844">
        <f>R309+S309</f>
        <v>0</v>
      </c>
      <c r="R309" s="845"/>
      <c r="S309" s="846"/>
      <c r="T309" s="847"/>
      <c r="U309" s="848">
        <v>1000000</v>
      </c>
      <c r="V309" s="849"/>
      <c r="W309" s="850"/>
      <c r="X309" s="875"/>
      <c r="Y309" s="853"/>
      <c r="Z309" s="853"/>
      <c r="AA309" s="854">
        <f t="shared" si="126"/>
        <v>0</v>
      </c>
      <c r="AB309" s="855">
        <f>SUM(AE309:AH309)-AG309+AJ309</f>
        <v>0</v>
      </c>
      <c r="AC309" s="855"/>
      <c r="AD309" s="891">
        <f t="shared" si="122"/>
        <v>0</v>
      </c>
      <c r="AE309" s="857"/>
      <c r="AF309" s="858"/>
      <c r="AG309" s="858"/>
      <c r="AH309" s="892"/>
      <c r="AI309" s="859"/>
      <c r="AJ309" s="860"/>
      <c r="AK309" s="861"/>
      <c r="AL309" s="877"/>
      <c r="AM309" s="308" t="str">
        <f t="shared" si="123"/>
        <v/>
      </c>
      <c r="AN309" s="369" t="str">
        <f t="shared" si="128"/>
        <v/>
      </c>
      <c r="AO309" s="291">
        <v>4192</v>
      </c>
      <c r="AR309" s="47" t="e">
        <f>#REF!-AB309</f>
        <v>#REF!</v>
      </c>
      <c r="AS309" s="54"/>
      <c r="AT309" s="55"/>
      <c r="AU309" s="56"/>
      <c r="AV309" s="57" t="e">
        <f>#REF!-#REF!</f>
        <v>#REF!</v>
      </c>
    </row>
    <row r="310" spans="1:48" ht="16.5" customHeight="1" outlineLevel="2">
      <c r="A310" s="291">
        <v>4193</v>
      </c>
      <c r="B310" s="818" t="s">
        <v>4611</v>
      </c>
      <c r="C310" s="458">
        <v>99</v>
      </c>
      <c r="D310" s="291">
        <v>4193</v>
      </c>
      <c r="E310" s="881" t="s">
        <v>4612</v>
      </c>
      <c r="F310" s="428" t="s">
        <v>4589</v>
      </c>
      <c r="G310" s="409"/>
      <c r="H310" s="429" t="s">
        <v>5682</v>
      </c>
      <c r="I310" s="882">
        <v>41</v>
      </c>
      <c r="J310" s="883" t="s">
        <v>4595</v>
      </c>
      <c r="K310" s="437"/>
      <c r="L310" s="413"/>
      <c r="M310" s="414"/>
      <c r="N310" s="885"/>
      <c r="O310" s="280">
        <v>17100000</v>
      </c>
      <c r="P310" s="465"/>
      <c r="Q310" s="263">
        <f t="shared" si="127"/>
        <v>17100000</v>
      </c>
      <c r="R310" s="284">
        <v>17100000</v>
      </c>
      <c r="S310" s="285"/>
      <c r="T310" s="466"/>
      <c r="U310" s="544">
        <v>17100000</v>
      </c>
      <c r="V310" s="43"/>
      <c r="W310" s="44"/>
      <c r="X310" s="132"/>
      <c r="Y310" s="46"/>
      <c r="Z310" s="46"/>
      <c r="AA310" s="47">
        <f t="shared" si="126"/>
        <v>17100000</v>
      </c>
      <c r="AB310" s="48">
        <f>SUM(AE310:AH310)-AG310+AJ310</f>
        <v>0</v>
      </c>
      <c r="AC310" s="265"/>
      <c r="AD310" s="873">
        <f t="shared" si="122"/>
        <v>0</v>
      </c>
      <c r="AE310" s="49"/>
      <c r="AF310" s="50"/>
      <c r="AG310" s="50"/>
      <c r="AH310" s="203"/>
      <c r="AI310" s="51"/>
      <c r="AJ310" s="52"/>
      <c r="AK310" s="462"/>
      <c r="AL310" s="442"/>
      <c r="AM310" s="308" t="str">
        <f t="shared" si="123"/>
        <v>4193</v>
      </c>
      <c r="AN310" s="369" t="str">
        <f t="shared" si="128"/>
        <v>4193</v>
      </c>
      <c r="AO310" s="291">
        <v>4193</v>
      </c>
      <c r="AR310" s="47" t="e">
        <f>#REF!-AB310</f>
        <v>#REF!</v>
      </c>
      <c r="AS310" s="54"/>
      <c r="AT310" s="55"/>
      <c r="AU310" s="56"/>
      <c r="AV310" s="57" t="e">
        <f>#REF!-#REF!</f>
        <v>#REF!</v>
      </c>
    </row>
    <row r="311" spans="1:48" ht="16.5" customHeight="1" outlineLevel="2">
      <c r="A311" s="291">
        <v>4</v>
      </c>
      <c r="B311" s="818" t="s">
        <v>4611</v>
      </c>
      <c r="C311" s="458">
        <v>99</v>
      </c>
      <c r="D311" s="291">
        <v>4</v>
      </c>
      <c r="E311" s="881" t="s">
        <v>4612</v>
      </c>
      <c r="F311" s="428" t="s">
        <v>4589</v>
      </c>
      <c r="G311" s="409"/>
      <c r="H311" s="429" t="s">
        <v>5629</v>
      </c>
      <c r="I311" s="411">
        <v>4</v>
      </c>
      <c r="J311" s="883"/>
      <c r="K311" s="437"/>
      <c r="L311" s="413"/>
      <c r="M311" s="414"/>
      <c r="N311" s="885"/>
      <c r="O311" s="280">
        <v>260000</v>
      </c>
      <c r="P311" s="465"/>
      <c r="Q311" s="263">
        <f t="shared" si="127"/>
        <v>630000</v>
      </c>
      <c r="R311" s="284">
        <v>630000</v>
      </c>
      <c r="S311" s="285"/>
      <c r="T311" s="466"/>
      <c r="U311" s="544">
        <v>220000</v>
      </c>
      <c r="V311" s="44"/>
      <c r="W311" s="44"/>
      <c r="X311" s="132"/>
      <c r="Y311" s="46"/>
      <c r="Z311" s="46"/>
      <c r="AA311" s="47">
        <f t="shared" si="126"/>
        <v>630000</v>
      </c>
      <c r="AB311" s="48">
        <f>SUM(AE311:AI311)</f>
        <v>0</v>
      </c>
      <c r="AC311" s="265"/>
      <c r="AD311" s="873">
        <f t="shared" si="122"/>
        <v>0</v>
      </c>
      <c r="AE311" s="49"/>
      <c r="AF311" s="50"/>
      <c r="AG311" s="50"/>
      <c r="AH311" s="50"/>
      <c r="AI311" s="51"/>
      <c r="AJ311" s="52"/>
      <c r="AK311" s="462"/>
      <c r="AL311" s="442"/>
      <c r="AM311" s="308" t="str">
        <f t="shared" si="123"/>
        <v>4</v>
      </c>
      <c r="AN311" s="369" t="str">
        <f t="shared" si="128"/>
        <v>4</v>
      </c>
      <c r="AO311" s="291">
        <v>4</v>
      </c>
      <c r="AR311" s="47" t="e">
        <f>#REF!-AB311</f>
        <v>#REF!</v>
      </c>
      <c r="AS311" s="54"/>
      <c r="AT311" s="55"/>
      <c r="AU311" s="56"/>
      <c r="AV311" s="57" t="e">
        <f>#REF!-#REF!</f>
        <v>#REF!</v>
      </c>
    </row>
    <row r="312" spans="1:48" ht="16.5" customHeight="1" outlineLevel="2" thickBot="1">
      <c r="B312" s="818"/>
      <c r="C312" s="458"/>
      <c r="E312" s="881"/>
      <c r="F312" s="428"/>
      <c r="G312" s="409"/>
      <c r="H312" s="429" t="s">
        <v>4613</v>
      </c>
      <c r="I312" s="882"/>
      <c r="J312" s="883"/>
      <c r="K312" s="437"/>
      <c r="L312" s="413"/>
      <c r="M312" s="414"/>
      <c r="N312" s="885"/>
      <c r="O312" s="280">
        <v>-11380000</v>
      </c>
      <c r="P312" s="465"/>
      <c r="Q312" s="263">
        <f t="shared" ref="Q312:Q317" si="129">R312+S312-AB312</f>
        <v>0</v>
      </c>
      <c r="R312" s="284"/>
      <c r="S312" s="285"/>
      <c r="T312" s="466"/>
      <c r="U312" s="544">
        <v>0</v>
      </c>
      <c r="V312" s="215"/>
      <c r="W312" s="44"/>
      <c r="X312" s="132"/>
      <c r="Y312" s="46"/>
      <c r="Z312" s="46"/>
      <c r="AA312" s="47">
        <f>+AB312-AJ312+AI312</f>
        <v>0</v>
      </c>
      <c r="AB312" s="48">
        <f>SUM(AE312:AH312)-AG312+AJ312</f>
        <v>0</v>
      </c>
      <c r="AC312" s="265"/>
      <c r="AD312" s="873">
        <f t="shared" si="122"/>
        <v>0</v>
      </c>
      <c r="AE312" s="49"/>
      <c r="AF312" s="50"/>
      <c r="AG312" s="50"/>
      <c r="AH312" s="50"/>
      <c r="AI312" s="85"/>
      <c r="AJ312" s="52"/>
      <c r="AK312" s="462"/>
      <c r="AL312" s="442"/>
      <c r="AM312" s="308"/>
      <c r="AN312" s="369"/>
      <c r="AR312" s="47"/>
      <c r="AS312" s="54"/>
      <c r="AT312" s="55"/>
      <c r="AU312" s="56"/>
      <c r="AV312" s="57"/>
    </row>
    <row r="313" spans="1:48" s="829" customFormat="1" ht="16.5" customHeight="1" outlineLevel="2" thickBot="1">
      <c r="A313" s="823">
        <v>51</v>
      </c>
      <c r="B313" s="818" t="s">
        <v>4614</v>
      </c>
      <c r="C313" s="458">
        <v>99</v>
      </c>
      <c r="D313" s="823">
        <v>51</v>
      </c>
      <c r="E313" s="863" t="s">
        <v>4615</v>
      </c>
      <c r="F313" s="428" t="s">
        <v>4589</v>
      </c>
      <c r="G313" s="409"/>
      <c r="H313" s="429" t="s">
        <v>5683</v>
      </c>
      <c r="I313" s="411">
        <v>51</v>
      </c>
      <c r="J313" s="893"/>
      <c r="K313" s="437"/>
      <c r="L313" s="894"/>
      <c r="M313" s="895"/>
      <c r="N313" s="896"/>
      <c r="O313" s="280">
        <v>-720000</v>
      </c>
      <c r="P313" s="465"/>
      <c r="Q313" s="263">
        <f t="shared" si="129"/>
        <v>-600000</v>
      </c>
      <c r="R313" s="284"/>
      <c r="S313" s="285"/>
      <c r="T313" s="466"/>
      <c r="U313" s="544">
        <v>-900000</v>
      </c>
      <c r="V313" s="44"/>
      <c r="W313" s="44"/>
      <c r="X313" s="132"/>
      <c r="Y313" s="46"/>
      <c r="Z313" s="46"/>
      <c r="AA313" s="47">
        <f t="shared" ref="AA313:AA321" si="130">Q313+AB313-AJ313</f>
        <v>0</v>
      </c>
      <c r="AB313" s="48">
        <f>SUM(AE313:AI313)</f>
        <v>600000</v>
      </c>
      <c r="AC313" s="265"/>
      <c r="AD313" s="897">
        <f t="shared" si="122"/>
        <v>600000</v>
      </c>
      <c r="AE313" s="49"/>
      <c r="AF313" s="50"/>
      <c r="AG313" s="76"/>
      <c r="AH313" s="50"/>
      <c r="AI313" s="77">
        <v>600000</v>
      </c>
      <c r="AJ313" s="52"/>
      <c r="AK313" s="826"/>
      <c r="AL313" s="442"/>
      <c r="AM313" s="827" t="str">
        <f t="shared" ref="AM313:AM344" si="131">I313&amp;J313</f>
        <v>51</v>
      </c>
      <c r="AN313" s="828" t="str">
        <f t="shared" ref="AN313:AN321" si="132">I313&amp;J313</f>
        <v>51</v>
      </c>
      <c r="AO313" s="823">
        <v>51</v>
      </c>
      <c r="AP313" s="823"/>
      <c r="AR313" s="47">
        <f>U319</f>
        <v>1150000</v>
      </c>
      <c r="AS313" s="207"/>
      <c r="AT313" s="208"/>
      <c r="AU313" s="56"/>
      <c r="AV313" s="209" t="e">
        <f>#REF!-#REF!</f>
        <v>#REF!</v>
      </c>
    </row>
    <row r="314" spans="1:48" s="829" customFormat="1" ht="16.5" customHeight="1" outlineLevel="2" thickBot="1">
      <c r="A314" s="823">
        <v>52</v>
      </c>
      <c r="B314" s="818" t="s">
        <v>4614</v>
      </c>
      <c r="C314" s="458">
        <v>99</v>
      </c>
      <c r="D314" s="823">
        <v>52</v>
      </c>
      <c r="E314" s="863" t="s">
        <v>4615</v>
      </c>
      <c r="F314" s="428" t="s">
        <v>4589</v>
      </c>
      <c r="G314" s="409"/>
      <c r="H314" s="429" t="s">
        <v>5684</v>
      </c>
      <c r="I314" s="411">
        <v>52</v>
      </c>
      <c r="J314" s="893"/>
      <c r="K314" s="437"/>
      <c r="L314" s="894"/>
      <c r="M314" s="895"/>
      <c r="N314" s="896"/>
      <c r="O314" s="280">
        <v>-800000</v>
      </c>
      <c r="P314" s="465"/>
      <c r="Q314" s="263">
        <f t="shared" si="129"/>
        <v>-1000000</v>
      </c>
      <c r="R314" s="284"/>
      <c r="S314" s="285"/>
      <c r="T314" s="466"/>
      <c r="U314" s="544">
        <v>-1000000</v>
      </c>
      <c r="V314" s="44"/>
      <c r="W314" s="44"/>
      <c r="X314" s="132"/>
      <c r="Y314" s="46"/>
      <c r="Z314" s="46"/>
      <c r="AA314" s="47">
        <f t="shared" si="130"/>
        <v>0</v>
      </c>
      <c r="AB314" s="48">
        <f>SUM(AE314:AI314)</f>
        <v>1000000</v>
      </c>
      <c r="AC314" s="265"/>
      <c r="AD314" s="897">
        <f t="shared" si="122"/>
        <v>1000000</v>
      </c>
      <c r="AE314" s="49"/>
      <c r="AF314" s="50"/>
      <c r="AG314" s="50"/>
      <c r="AH314" s="50"/>
      <c r="AI314" s="77">
        <v>1000000</v>
      </c>
      <c r="AJ314" s="52"/>
      <c r="AK314" s="826"/>
      <c r="AL314" s="442"/>
      <c r="AM314" s="827" t="str">
        <f t="shared" si="131"/>
        <v>52</v>
      </c>
      <c r="AN314" s="828" t="str">
        <f t="shared" si="132"/>
        <v>52</v>
      </c>
      <c r="AO314" s="823">
        <v>52</v>
      </c>
      <c r="AP314" s="823"/>
      <c r="AR314" s="47">
        <f>U323</f>
        <v>1000000</v>
      </c>
      <c r="AS314" s="207"/>
      <c r="AT314" s="208"/>
      <c r="AU314" s="56"/>
      <c r="AV314" s="209" t="e">
        <f>#REF!-#REF!</f>
        <v>#REF!</v>
      </c>
    </row>
    <row r="315" spans="1:48" ht="16.5" customHeight="1" outlineLevel="2" thickBot="1">
      <c r="A315" s="291">
        <v>53</v>
      </c>
      <c r="B315" s="818" t="s">
        <v>4614</v>
      </c>
      <c r="C315" s="458">
        <v>99</v>
      </c>
      <c r="D315" s="291">
        <v>53</v>
      </c>
      <c r="E315" s="863" t="s">
        <v>4615</v>
      </c>
      <c r="F315" s="428" t="s">
        <v>4589</v>
      </c>
      <c r="G315" s="409"/>
      <c r="H315" s="898" t="s">
        <v>5685</v>
      </c>
      <c r="I315" s="411">
        <v>53</v>
      </c>
      <c r="J315" s="459"/>
      <c r="K315" s="437"/>
      <c r="L315" s="413"/>
      <c r="M315" s="414"/>
      <c r="N315" s="415"/>
      <c r="O315" s="280">
        <v>-500000</v>
      </c>
      <c r="P315" s="465"/>
      <c r="Q315" s="263">
        <f t="shared" si="129"/>
        <v>-700000</v>
      </c>
      <c r="R315" s="284"/>
      <c r="S315" s="285"/>
      <c r="T315" s="466"/>
      <c r="U315" s="544">
        <v>-700000</v>
      </c>
      <c r="V315" s="44"/>
      <c r="W315" s="44"/>
      <c r="X315" s="132"/>
      <c r="Y315" s="46"/>
      <c r="Z315" s="46"/>
      <c r="AA315" s="47">
        <f t="shared" si="130"/>
        <v>0</v>
      </c>
      <c r="AB315" s="48">
        <f>SUM(AE315:AI315)</f>
        <v>700000</v>
      </c>
      <c r="AC315" s="265"/>
      <c r="AD315" s="424">
        <f t="shared" si="122"/>
        <v>700000</v>
      </c>
      <c r="AE315" s="49"/>
      <c r="AF315" s="50"/>
      <c r="AG315" s="50"/>
      <c r="AH315" s="50"/>
      <c r="AI315" s="77">
        <v>700000</v>
      </c>
      <c r="AJ315" s="52"/>
      <c r="AK315" s="462"/>
      <c r="AL315" s="442" t="s">
        <v>4601</v>
      </c>
      <c r="AM315" s="308" t="str">
        <f t="shared" si="131"/>
        <v>53</v>
      </c>
      <c r="AN315" s="369" t="str">
        <f t="shared" si="132"/>
        <v>53</v>
      </c>
      <c r="AO315" s="291">
        <v>53</v>
      </c>
      <c r="AR315" s="47">
        <f>AB315+U322</f>
        <v>2700000</v>
      </c>
      <c r="AS315" s="54"/>
      <c r="AT315" s="55"/>
      <c r="AU315" s="56"/>
      <c r="AV315" s="57" t="e">
        <f>#REF!-#REF!</f>
        <v>#REF!</v>
      </c>
    </row>
    <row r="316" spans="1:48" ht="16.5" customHeight="1" outlineLevel="2" thickBot="1">
      <c r="A316" s="291">
        <v>54</v>
      </c>
      <c r="B316" s="818" t="s">
        <v>4614</v>
      </c>
      <c r="C316" s="458">
        <v>99</v>
      </c>
      <c r="D316" s="291">
        <v>54</v>
      </c>
      <c r="E316" s="863" t="s">
        <v>4615</v>
      </c>
      <c r="F316" s="428" t="s">
        <v>4589</v>
      </c>
      <c r="G316" s="409"/>
      <c r="H316" s="429" t="s">
        <v>5686</v>
      </c>
      <c r="I316" s="411">
        <v>54</v>
      </c>
      <c r="J316" s="459"/>
      <c r="K316" s="437"/>
      <c r="L316" s="413"/>
      <c r="M316" s="414"/>
      <c r="N316" s="415"/>
      <c r="O316" s="280">
        <v>-40000</v>
      </c>
      <c r="P316" s="465"/>
      <c r="Q316" s="263">
        <f t="shared" si="129"/>
        <v>-30000</v>
      </c>
      <c r="R316" s="284">
        <v>570000</v>
      </c>
      <c r="S316" s="285"/>
      <c r="T316" s="466"/>
      <c r="U316" s="544">
        <v>-30000</v>
      </c>
      <c r="V316" s="44"/>
      <c r="W316" s="44"/>
      <c r="X316" s="132"/>
      <c r="Y316" s="46"/>
      <c r="Z316" s="46"/>
      <c r="AA316" s="47">
        <f t="shared" si="130"/>
        <v>570000</v>
      </c>
      <c r="AB316" s="48">
        <f>SUM(AE316:AI316)</f>
        <v>600000</v>
      </c>
      <c r="AC316" s="265"/>
      <c r="AD316" s="424">
        <f t="shared" si="122"/>
        <v>600000</v>
      </c>
      <c r="AE316" s="49"/>
      <c r="AF316" s="50"/>
      <c r="AG316" s="50"/>
      <c r="AH316" s="50"/>
      <c r="AI316" s="77">
        <v>600000</v>
      </c>
      <c r="AJ316" s="52"/>
      <c r="AK316" s="462"/>
      <c r="AL316" s="442"/>
      <c r="AM316" s="308" t="str">
        <f t="shared" si="131"/>
        <v>54</v>
      </c>
      <c r="AN316" s="369" t="str">
        <f t="shared" si="132"/>
        <v>54</v>
      </c>
      <c r="AO316" s="291">
        <v>54</v>
      </c>
      <c r="AR316" s="47">
        <f>AB316+U319</f>
        <v>1750000</v>
      </c>
      <c r="AS316" s="54"/>
      <c r="AT316" s="55"/>
      <c r="AU316" s="56"/>
      <c r="AV316" s="57" t="e">
        <f>#REF!-#REF!</f>
        <v>#REF!</v>
      </c>
    </row>
    <row r="317" spans="1:48" ht="16.5" customHeight="1" outlineLevel="2" thickBot="1">
      <c r="A317" s="291">
        <v>55</v>
      </c>
      <c r="B317" s="818" t="s">
        <v>4614</v>
      </c>
      <c r="C317" s="458">
        <v>99</v>
      </c>
      <c r="D317" s="291">
        <v>55</v>
      </c>
      <c r="E317" s="863" t="s">
        <v>4615</v>
      </c>
      <c r="F317" s="428" t="s">
        <v>4589</v>
      </c>
      <c r="G317" s="409"/>
      <c r="H317" s="429" t="s">
        <v>5687</v>
      </c>
      <c r="I317" s="411">
        <v>55</v>
      </c>
      <c r="J317" s="459"/>
      <c r="K317" s="437"/>
      <c r="L317" s="413"/>
      <c r="M317" s="414"/>
      <c r="N317" s="415"/>
      <c r="O317" s="280">
        <v>-60000</v>
      </c>
      <c r="P317" s="465"/>
      <c r="Q317" s="263">
        <f t="shared" si="129"/>
        <v>0</v>
      </c>
      <c r="R317" s="284"/>
      <c r="S317" s="285"/>
      <c r="T317" s="466"/>
      <c r="U317" s="544">
        <v>-30000</v>
      </c>
      <c r="V317" s="44"/>
      <c r="W317" s="44"/>
      <c r="X317" s="132"/>
      <c r="Y317" s="46"/>
      <c r="Z317" s="46"/>
      <c r="AA317" s="47">
        <f t="shared" si="130"/>
        <v>0</v>
      </c>
      <c r="AB317" s="48">
        <f>SUM(AE317:AI317)</f>
        <v>0</v>
      </c>
      <c r="AC317" s="265"/>
      <c r="AD317" s="424">
        <f t="shared" si="122"/>
        <v>0</v>
      </c>
      <c r="AE317" s="49"/>
      <c r="AF317" s="50"/>
      <c r="AG317" s="50"/>
      <c r="AH317" s="50"/>
      <c r="AI317" s="77"/>
      <c r="AJ317" s="52"/>
      <c r="AK317" s="462"/>
      <c r="AL317" s="442" t="s">
        <v>5688</v>
      </c>
      <c r="AM317" s="308" t="str">
        <f t="shared" si="131"/>
        <v>55</v>
      </c>
      <c r="AN317" s="369" t="str">
        <f t="shared" si="132"/>
        <v>55</v>
      </c>
      <c r="AO317" s="291">
        <v>55</v>
      </c>
      <c r="AR317" s="47">
        <f>AB317+U321</f>
        <v>150000</v>
      </c>
      <c r="AS317" s="54"/>
      <c r="AT317" s="55"/>
      <c r="AU317" s="56"/>
      <c r="AV317" s="57" t="e">
        <f>#REF!-#REF!</f>
        <v>#REF!</v>
      </c>
    </row>
    <row r="318" spans="1:48" ht="16.5" customHeight="1" outlineLevel="2">
      <c r="A318" s="291">
        <v>61</v>
      </c>
      <c r="B318" s="818" t="s">
        <v>4616</v>
      </c>
      <c r="C318" s="458">
        <v>99</v>
      </c>
      <c r="D318" s="291">
        <v>61</v>
      </c>
      <c r="E318" s="863" t="s">
        <v>0</v>
      </c>
      <c r="F318" s="428" t="s">
        <v>4589</v>
      </c>
      <c r="G318" s="409"/>
      <c r="H318" s="429" t="s">
        <v>5689</v>
      </c>
      <c r="I318" s="411">
        <v>61</v>
      </c>
      <c r="J318" s="899"/>
      <c r="K318" s="437"/>
      <c r="L318" s="413"/>
      <c r="M318" s="414"/>
      <c r="N318" s="415"/>
      <c r="O318" s="280">
        <v>79680000</v>
      </c>
      <c r="P318" s="465"/>
      <c r="Q318" s="263">
        <f t="shared" ref="Q318:Q323" si="133">R318+S318</f>
        <v>66720000</v>
      </c>
      <c r="R318" s="284">
        <f>65000000+1720000</f>
        <v>66720000</v>
      </c>
      <c r="S318" s="285"/>
      <c r="T318" s="466"/>
      <c r="U318" s="544">
        <v>67000000</v>
      </c>
      <c r="V318" s="44"/>
      <c r="W318" s="44"/>
      <c r="X318" s="132"/>
      <c r="Y318" s="46"/>
      <c r="Z318" s="46"/>
      <c r="AA318" s="47">
        <f t="shared" si="130"/>
        <v>66720000</v>
      </c>
      <c r="AB318" s="48">
        <f>SUM(AE318:AI318)+AJ318</f>
        <v>97520000</v>
      </c>
      <c r="AC318" s="265"/>
      <c r="AD318" s="424">
        <f t="shared" si="122"/>
        <v>97520000</v>
      </c>
      <c r="AE318" s="49"/>
      <c r="AF318" s="50"/>
      <c r="AG318" s="216"/>
      <c r="AH318" s="216"/>
      <c r="AI318" s="217"/>
      <c r="AJ318" s="52">
        <f>65000000+1720000+30800000</f>
        <v>97520000</v>
      </c>
      <c r="AK318" s="462"/>
      <c r="AL318" s="864" t="s">
        <v>4617</v>
      </c>
      <c r="AM318" s="308" t="str">
        <f t="shared" si="131"/>
        <v>61</v>
      </c>
      <c r="AN318" s="369" t="str">
        <f t="shared" si="132"/>
        <v>61</v>
      </c>
      <c r="AO318" s="291">
        <v>61</v>
      </c>
      <c r="AR318" s="47">
        <f>U325</f>
        <v>26000000</v>
      </c>
      <c r="AS318" s="54"/>
      <c r="AT318" s="218">
        <v>116057000</v>
      </c>
      <c r="AU318" s="56"/>
      <c r="AV318" s="57" t="e">
        <f>#REF!-#REF!</f>
        <v>#REF!</v>
      </c>
    </row>
    <row r="319" spans="1:48" ht="16.5" customHeight="1" outlineLevel="2">
      <c r="A319" s="291">
        <v>62</v>
      </c>
      <c r="B319" s="818" t="s">
        <v>4616</v>
      </c>
      <c r="C319" s="458">
        <v>99</v>
      </c>
      <c r="D319" s="291">
        <v>62</v>
      </c>
      <c r="E319" s="863" t="s">
        <v>0</v>
      </c>
      <c r="F319" s="428" t="s">
        <v>4589</v>
      </c>
      <c r="G319" s="409"/>
      <c r="H319" s="429" t="s">
        <v>5690</v>
      </c>
      <c r="I319" s="411">
        <v>62</v>
      </c>
      <c r="J319" s="899"/>
      <c r="K319" s="437"/>
      <c r="L319" s="413"/>
      <c r="M319" s="414"/>
      <c r="N319" s="415"/>
      <c r="O319" s="280">
        <v>1570000</v>
      </c>
      <c r="P319" s="465"/>
      <c r="Q319" s="263">
        <f t="shared" si="133"/>
        <v>1220000</v>
      </c>
      <c r="R319" s="284">
        <f>1150000+70000</f>
        <v>1220000</v>
      </c>
      <c r="S319" s="285"/>
      <c r="T319" s="466"/>
      <c r="U319" s="544">
        <v>1150000</v>
      </c>
      <c r="V319" s="44"/>
      <c r="W319" s="44"/>
      <c r="X319" s="132"/>
      <c r="Y319" s="46"/>
      <c r="Z319" s="46"/>
      <c r="AA319" s="47">
        <f t="shared" si="130"/>
        <v>1220000</v>
      </c>
      <c r="AB319" s="48">
        <f>SUM(AE319:AI319)+AJ319</f>
        <v>1920000</v>
      </c>
      <c r="AC319" s="265"/>
      <c r="AD319" s="424">
        <f t="shared" si="122"/>
        <v>1920000</v>
      </c>
      <c r="AE319" s="49"/>
      <c r="AF319" s="50"/>
      <c r="AG319" s="216"/>
      <c r="AH319" s="216"/>
      <c r="AI319" s="217"/>
      <c r="AJ319" s="52">
        <f>1150000+70000+700000</f>
        <v>1920000</v>
      </c>
      <c r="AK319" s="462"/>
      <c r="AL319" s="864" t="s">
        <v>4617</v>
      </c>
      <c r="AM319" s="308" t="str">
        <f t="shared" si="131"/>
        <v>62</v>
      </c>
      <c r="AN319" s="369" t="str">
        <f t="shared" si="132"/>
        <v>62</v>
      </c>
      <c r="AO319" s="291">
        <v>62</v>
      </c>
      <c r="AR319" s="47">
        <f>U326</f>
        <v>6500000</v>
      </c>
      <c r="AS319" s="54"/>
      <c r="AT319" s="218">
        <v>116057000</v>
      </c>
      <c r="AU319" s="56"/>
      <c r="AV319" s="57" t="e">
        <f>#REF!-#REF!</f>
        <v>#REF!</v>
      </c>
    </row>
    <row r="320" spans="1:48" ht="16.5" hidden="1" customHeight="1" outlineLevel="2">
      <c r="A320" s="291" t="s">
        <v>4454</v>
      </c>
      <c r="B320" s="818" t="s">
        <v>4616</v>
      </c>
      <c r="C320" s="458">
        <v>99</v>
      </c>
      <c r="D320" s="291" t="s">
        <v>4454</v>
      </c>
      <c r="E320" s="863" t="s">
        <v>0</v>
      </c>
      <c r="F320" s="428" t="s">
        <v>4589</v>
      </c>
      <c r="G320" s="409"/>
      <c r="H320" s="429" t="s">
        <v>5691</v>
      </c>
      <c r="I320" s="411"/>
      <c r="J320" s="899"/>
      <c r="K320" s="437"/>
      <c r="L320" s="413"/>
      <c r="M320" s="414"/>
      <c r="N320" s="415"/>
      <c r="O320" s="280">
        <v>25000</v>
      </c>
      <c r="P320" s="465"/>
      <c r="Q320" s="263">
        <f t="shared" si="133"/>
        <v>0</v>
      </c>
      <c r="R320" s="284"/>
      <c r="S320" s="285"/>
      <c r="T320" s="466"/>
      <c r="U320" s="544">
        <v>0</v>
      </c>
      <c r="V320" s="44"/>
      <c r="W320" s="44"/>
      <c r="X320" s="132"/>
      <c r="Y320" s="46"/>
      <c r="Z320" s="46"/>
      <c r="AA320" s="47">
        <f t="shared" si="130"/>
        <v>0</v>
      </c>
      <c r="AB320" s="48">
        <f>SUM(AE320:AI320)+AJ320</f>
        <v>0</v>
      </c>
      <c r="AC320" s="265"/>
      <c r="AD320" s="424">
        <f t="shared" si="122"/>
        <v>0</v>
      </c>
      <c r="AE320" s="49"/>
      <c r="AF320" s="50"/>
      <c r="AG320" s="216"/>
      <c r="AH320" s="216"/>
      <c r="AI320" s="217"/>
      <c r="AJ320" s="52"/>
      <c r="AK320" s="462"/>
      <c r="AL320" s="442" t="s">
        <v>4618</v>
      </c>
      <c r="AM320" s="308" t="str">
        <f t="shared" si="131"/>
        <v/>
      </c>
      <c r="AN320" s="369" t="str">
        <f t="shared" si="132"/>
        <v/>
      </c>
      <c r="AO320" s="291" t="s">
        <v>4454</v>
      </c>
      <c r="AR320" s="47">
        <f>U326</f>
        <v>6500000</v>
      </c>
      <c r="AS320" s="54"/>
      <c r="AT320" s="218">
        <v>40805000</v>
      </c>
      <c r="AU320" s="56"/>
      <c r="AV320" s="57" t="e">
        <f>#REF!-#REF!</f>
        <v>#REF!</v>
      </c>
    </row>
    <row r="321" spans="1:48" ht="16.5" customHeight="1" outlineLevel="2" thickBot="1">
      <c r="A321" s="291">
        <v>6</v>
      </c>
      <c r="B321" s="818" t="s">
        <v>4616</v>
      </c>
      <c r="C321" s="458">
        <v>99</v>
      </c>
      <c r="D321" s="291">
        <v>6</v>
      </c>
      <c r="E321" s="863" t="s">
        <v>0</v>
      </c>
      <c r="F321" s="428" t="s">
        <v>4589</v>
      </c>
      <c r="G321" s="409"/>
      <c r="H321" s="429" t="s">
        <v>5629</v>
      </c>
      <c r="I321" s="411">
        <v>6</v>
      </c>
      <c r="J321" s="459"/>
      <c r="K321" s="437"/>
      <c r="L321" s="413"/>
      <c r="M321" s="414"/>
      <c r="N321" s="415"/>
      <c r="O321" s="280">
        <v>190000</v>
      </c>
      <c r="P321" s="465"/>
      <c r="Q321" s="263">
        <f t="shared" si="133"/>
        <v>120000</v>
      </c>
      <c r="R321" s="284">
        <v>120000</v>
      </c>
      <c r="S321" s="285"/>
      <c r="T321" s="466"/>
      <c r="U321" s="544">
        <v>150000</v>
      </c>
      <c r="V321" s="44"/>
      <c r="W321" s="44"/>
      <c r="X321" s="132"/>
      <c r="Y321" s="46"/>
      <c r="Z321" s="46"/>
      <c r="AA321" s="47">
        <f t="shared" si="130"/>
        <v>120000</v>
      </c>
      <c r="AB321" s="48">
        <f>SUM(AE321:AI321)</f>
        <v>0</v>
      </c>
      <c r="AC321" s="265"/>
      <c r="AD321" s="424">
        <f t="shared" si="122"/>
        <v>0</v>
      </c>
      <c r="AE321" s="49"/>
      <c r="AF321" s="50"/>
      <c r="AG321" s="50"/>
      <c r="AH321" s="50"/>
      <c r="AI321" s="51"/>
      <c r="AJ321" s="52"/>
      <c r="AK321" s="462"/>
      <c r="AL321" s="442"/>
      <c r="AM321" s="308" t="str">
        <f t="shared" si="131"/>
        <v>6</v>
      </c>
      <c r="AN321" s="369" t="str">
        <f t="shared" si="132"/>
        <v>6</v>
      </c>
      <c r="AO321" s="291">
        <v>6</v>
      </c>
      <c r="AR321" s="47" t="e">
        <f>#REF!</f>
        <v>#REF!</v>
      </c>
      <c r="AS321" s="54"/>
      <c r="AT321" s="55"/>
      <c r="AU321" s="56"/>
      <c r="AV321" s="57" t="e">
        <f>#REF!-#REF!</f>
        <v>#REF!</v>
      </c>
    </row>
    <row r="322" spans="1:48" ht="16.5" customHeight="1" outlineLevel="2" thickBot="1">
      <c r="A322" s="291" t="s">
        <v>4454</v>
      </c>
      <c r="B322" s="818" t="s">
        <v>4619</v>
      </c>
      <c r="C322" s="458">
        <v>99</v>
      </c>
      <c r="D322" s="291" t="s">
        <v>4454</v>
      </c>
      <c r="E322" s="900" t="s">
        <v>4619</v>
      </c>
      <c r="F322" s="428" t="s">
        <v>4589</v>
      </c>
      <c r="G322" s="409"/>
      <c r="H322" s="429" t="s">
        <v>5692</v>
      </c>
      <c r="I322" s="901"/>
      <c r="J322" s="902"/>
      <c r="K322" s="437"/>
      <c r="L322" s="413"/>
      <c r="M322" s="414"/>
      <c r="N322" s="415"/>
      <c r="O322" s="280">
        <v>3949700</v>
      </c>
      <c r="P322" s="465"/>
      <c r="Q322" s="263">
        <f>R322+S322-AB322</f>
        <v>0</v>
      </c>
      <c r="R322" s="284"/>
      <c r="S322" s="285"/>
      <c r="T322" s="466"/>
      <c r="U322" s="544">
        <v>2000000</v>
      </c>
      <c r="V322" s="44"/>
      <c r="W322" s="44"/>
      <c r="X322" s="132"/>
      <c r="Y322" s="46"/>
      <c r="Z322" s="46"/>
      <c r="AA322" s="47">
        <f>Q322+AB322-AJ322+AJ322</f>
        <v>0</v>
      </c>
      <c r="AB322" s="48">
        <f>SUM(AE322:AH322)-AG322+AJ322</f>
        <v>0</v>
      </c>
      <c r="AC322" s="265"/>
      <c r="AD322" s="424">
        <f t="shared" si="122"/>
        <v>0</v>
      </c>
      <c r="AE322" s="49"/>
      <c r="AF322" s="50"/>
      <c r="AG322" s="50"/>
      <c r="AH322" s="50"/>
      <c r="AI322" s="170"/>
      <c r="AJ322" s="52"/>
      <c r="AK322" s="462"/>
      <c r="AL322" s="442"/>
      <c r="AM322" s="308" t="str">
        <f t="shared" si="131"/>
        <v/>
      </c>
      <c r="AN322" s="306" t="s">
        <v>4454</v>
      </c>
      <c r="AO322" s="291" t="s">
        <v>4454</v>
      </c>
      <c r="AR322" s="47">
        <f>U328</f>
        <v>2080000</v>
      </c>
      <c r="AS322" s="54"/>
      <c r="AT322" s="55"/>
      <c r="AU322" s="56"/>
      <c r="AV322" s="57" t="e">
        <f>#REF!-#REF!</f>
        <v>#REF!</v>
      </c>
    </row>
    <row r="323" spans="1:48" ht="16.5" customHeight="1" outlineLevel="2" thickBot="1">
      <c r="A323" s="291" t="s">
        <v>4454</v>
      </c>
      <c r="B323" s="818" t="s">
        <v>4619</v>
      </c>
      <c r="C323" s="458">
        <v>99</v>
      </c>
      <c r="D323" s="291" t="s">
        <v>4454</v>
      </c>
      <c r="E323" s="900" t="s">
        <v>4619</v>
      </c>
      <c r="F323" s="428" t="s">
        <v>4589</v>
      </c>
      <c r="G323" s="409"/>
      <c r="H323" s="429" t="s">
        <v>5693</v>
      </c>
      <c r="I323" s="411"/>
      <c r="J323" s="459"/>
      <c r="K323" s="437"/>
      <c r="L323" s="413"/>
      <c r="M323" s="414"/>
      <c r="N323" s="415"/>
      <c r="O323" s="280">
        <v>2000000</v>
      </c>
      <c r="P323" s="465"/>
      <c r="Q323" s="263">
        <f t="shared" si="133"/>
        <v>1000000</v>
      </c>
      <c r="R323" s="284">
        <v>1000000</v>
      </c>
      <c r="S323" s="285"/>
      <c r="T323" s="466"/>
      <c r="U323" s="561">
        <v>1000000</v>
      </c>
      <c r="V323" s="44"/>
      <c r="W323" s="44"/>
      <c r="X323" s="132"/>
      <c r="Y323" s="46"/>
      <c r="Z323" s="46"/>
      <c r="AA323" s="47">
        <f>Q323+AB323-AJ323</f>
        <v>1000000</v>
      </c>
      <c r="AB323" s="48">
        <f>SUM(AE323:AI323)</f>
        <v>0</v>
      </c>
      <c r="AC323" s="265"/>
      <c r="AD323" s="424">
        <f t="shared" si="122"/>
        <v>0</v>
      </c>
      <c r="AE323" s="49"/>
      <c r="AF323" s="50"/>
      <c r="AG323" s="50"/>
      <c r="AH323" s="50"/>
      <c r="AI323" s="51"/>
      <c r="AJ323" s="52"/>
      <c r="AK323" s="462"/>
      <c r="AL323" s="442"/>
      <c r="AM323" s="308" t="str">
        <f t="shared" si="131"/>
        <v/>
      </c>
      <c r="AN323" s="369" t="str">
        <f>I323&amp;J323</f>
        <v/>
      </c>
      <c r="AO323" s="291" t="s">
        <v>4454</v>
      </c>
      <c r="AR323" s="47" t="e">
        <f>#REF!</f>
        <v>#REF!</v>
      </c>
      <c r="AS323" s="54"/>
      <c r="AT323" s="55"/>
      <c r="AU323" s="56"/>
      <c r="AV323" s="57" t="e">
        <f>#REF!-#REF!</f>
        <v>#REF!</v>
      </c>
    </row>
    <row r="324" spans="1:48" ht="18" customHeight="1" outlineLevel="1" thickBot="1">
      <c r="A324" s="306"/>
      <c r="B324" s="507"/>
      <c r="C324" s="508">
        <v>99</v>
      </c>
      <c r="D324" s="306"/>
      <c r="E324" s="509"/>
      <c r="F324" s="510" t="s">
        <v>4620</v>
      </c>
      <c r="G324" s="511"/>
      <c r="H324" s="512"/>
      <c r="I324" s="513"/>
      <c r="J324" s="514"/>
      <c r="K324" s="903"/>
      <c r="L324" s="516"/>
      <c r="M324" s="517"/>
      <c r="N324" s="518"/>
      <c r="O324" s="272">
        <v>169750225</v>
      </c>
      <c r="P324" s="520"/>
      <c r="Q324" s="91">
        <f>SUBTOTAL(9,Q261:Q323)</f>
        <v>181006000</v>
      </c>
      <c r="R324" s="92">
        <f>SUBTOTAL(9,R261:R323)</f>
        <v>196999544</v>
      </c>
      <c r="S324" s="93">
        <f>SUBTOTAL(9,S261:S323)</f>
        <v>23886456</v>
      </c>
      <c r="T324" s="524"/>
      <c r="U324" s="549">
        <v>153174786</v>
      </c>
      <c r="V324" s="94"/>
      <c r="W324" s="95"/>
      <c r="X324" s="97"/>
      <c r="Y324" s="97"/>
      <c r="Z324" s="97"/>
      <c r="AA324" s="106">
        <f>SUBTOTAL(9,AA261:AA323)</f>
        <v>221256000</v>
      </c>
      <c r="AB324" s="99">
        <f>SUBTOTAL(9,AB261:AB323)</f>
        <v>248573456</v>
      </c>
      <c r="AC324" s="273"/>
      <c r="AD324" s="904">
        <f t="shared" si="122"/>
        <v>250993912</v>
      </c>
      <c r="AE324" s="100">
        <f t="shared" ref="AE324:AK324" si="134">SUBTOTAL(9,AE261:AE323)</f>
        <v>19030000</v>
      </c>
      <c r="AF324" s="101">
        <f t="shared" si="134"/>
        <v>8200000</v>
      </c>
      <c r="AG324" s="101">
        <f t="shared" si="134"/>
        <v>0</v>
      </c>
      <c r="AH324" s="101">
        <f t="shared" si="134"/>
        <v>6420000</v>
      </c>
      <c r="AI324" s="102">
        <f t="shared" si="134"/>
        <v>9740456</v>
      </c>
      <c r="AJ324" s="103">
        <f t="shared" si="134"/>
        <v>207603456</v>
      </c>
      <c r="AK324" s="527">
        <f t="shared" si="134"/>
        <v>0</v>
      </c>
      <c r="AL324" s="905"/>
      <c r="AM324" s="308" t="str">
        <f t="shared" si="131"/>
        <v/>
      </c>
      <c r="AN324" s="906"/>
      <c r="AO324" s="306"/>
      <c r="AP324" s="306"/>
      <c r="AR324" s="106" t="e">
        <f>SUBTOTAL(9,AR261:AR323)</f>
        <v>#REF!</v>
      </c>
      <c r="AS324" s="107"/>
      <c r="AT324" s="108">
        <f>SUBTOTAL(9,AT287:AT323)</f>
        <v>272919000</v>
      </c>
      <c r="AU324" s="109"/>
      <c r="AV324" s="110" t="e">
        <f>SUBTOTAL(9,AV261:AV323)</f>
        <v>#REF!</v>
      </c>
    </row>
    <row r="325" spans="1:48" ht="31.5" customHeight="1" outlineLevel="2">
      <c r="A325" s="291" t="s">
        <v>4454</v>
      </c>
      <c r="B325" s="529"/>
      <c r="C325" s="530">
        <v>99</v>
      </c>
      <c r="D325" s="291" t="s">
        <v>4454</v>
      </c>
      <c r="E325" s="531"/>
      <c r="F325" s="532" t="s">
        <v>4621</v>
      </c>
      <c r="G325" s="533"/>
      <c r="H325" s="907" t="s">
        <v>4622</v>
      </c>
      <c r="I325" s="908"/>
      <c r="J325" s="909"/>
      <c r="K325" s="910"/>
      <c r="L325" s="567"/>
      <c r="M325" s="717" t="str">
        <f t="shared" ref="M325:M336" si="135">IF(N325="","","～")</f>
        <v/>
      </c>
      <c r="N325" s="568"/>
      <c r="O325" s="911">
        <v>25960000</v>
      </c>
      <c r="P325" s="698"/>
      <c r="Q325" s="912">
        <f t="shared" ref="Q325:Q343" si="136">R325+S325</f>
        <v>26000000</v>
      </c>
      <c r="R325" s="111">
        <f>900000+4730000+3800000+2800000+2710000+4800000+4800000+500000+960000-S325</f>
        <v>11000000</v>
      </c>
      <c r="S325" s="138">
        <v>15000000</v>
      </c>
      <c r="T325" s="702"/>
      <c r="U325" s="672">
        <v>26000000</v>
      </c>
      <c r="V325" s="113"/>
      <c r="W325" s="118"/>
      <c r="X325" s="113"/>
      <c r="Y325" s="118"/>
      <c r="Z325" s="219"/>
      <c r="AA325" s="116">
        <f>Q325</f>
        <v>26000000</v>
      </c>
      <c r="AB325" s="117">
        <f>SUM(AE325:AI325)+AJ325</f>
        <v>15000000</v>
      </c>
      <c r="AC325" s="274"/>
      <c r="AD325" s="913">
        <f t="shared" si="122"/>
        <v>15000000</v>
      </c>
      <c r="AE325" s="118"/>
      <c r="AF325" s="119"/>
      <c r="AG325" s="119"/>
      <c r="AH325" s="119"/>
      <c r="AI325" s="120"/>
      <c r="AJ325" s="140">
        <f>+S325</f>
        <v>15000000</v>
      </c>
      <c r="AK325" s="121"/>
      <c r="AL325" s="720" t="s">
        <v>5694</v>
      </c>
      <c r="AM325" s="308" t="str">
        <f t="shared" si="131"/>
        <v/>
      </c>
      <c r="AN325" s="306" t="s">
        <v>4454</v>
      </c>
      <c r="AO325" s="291" t="s">
        <v>4454</v>
      </c>
      <c r="AR325" s="47">
        <f>U330</f>
        <v>20000</v>
      </c>
      <c r="AS325" s="54"/>
      <c r="AT325" s="55"/>
      <c r="AU325" s="56"/>
      <c r="AV325" s="57" t="e">
        <f>#REF!-#REF!</f>
        <v>#REF!</v>
      </c>
    </row>
    <row r="326" spans="1:48" ht="31.5" customHeight="1" outlineLevel="2">
      <c r="A326" s="291" t="s">
        <v>4454</v>
      </c>
      <c r="B326" s="337"/>
      <c r="C326" s="551">
        <v>99</v>
      </c>
      <c r="D326" s="291" t="s">
        <v>4454</v>
      </c>
      <c r="E326" s="339"/>
      <c r="F326" s="340" t="s">
        <v>4621</v>
      </c>
      <c r="G326" s="341"/>
      <c r="H326" s="914" t="s">
        <v>4623</v>
      </c>
      <c r="I326" s="915"/>
      <c r="J326" s="916"/>
      <c r="K326" s="917"/>
      <c r="L326" s="346"/>
      <c r="M326" s="347" t="str">
        <f t="shared" si="135"/>
        <v/>
      </c>
      <c r="N326" s="438"/>
      <c r="O326" s="275">
        <v>5580000</v>
      </c>
      <c r="P326" s="555"/>
      <c r="Q326" s="918">
        <f t="shared" si="136"/>
        <v>6300000</v>
      </c>
      <c r="R326" s="200">
        <v>6300000</v>
      </c>
      <c r="S326" s="919"/>
      <c r="T326" s="556"/>
      <c r="U326" s="732">
        <v>6500000</v>
      </c>
      <c r="V326" s="611"/>
      <c r="W326" s="202"/>
      <c r="X326" s="611"/>
      <c r="Y326" s="202"/>
      <c r="Z326" s="920"/>
      <c r="AA326" s="198">
        <f t="shared" ref="AA326:AA343" si="137">Q326</f>
        <v>6300000</v>
      </c>
      <c r="AB326" s="48">
        <f t="shared" ref="AB326:AB343" si="138">SUM(AE326:AI326)</f>
        <v>0</v>
      </c>
      <c r="AC326" s="265"/>
      <c r="AD326" s="921">
        <f t="shared" si="122"/>
        <v>0</v>
      </c>
      <c r="AE326" s="202"/>
      <c r="AF326" s="203"/>
      <c r="AG326" s="203"/>
      <c r="AH326" s="203"/>
      <c r="AI326" s="204"/>
      <c r="AJ326" s="143"/>
      <c r="AK326" s="205"/>
      <c r="AL326" s="368" t="s">
        <v>4624</v>
      </c>
      <c r="AM326" s="308" t="str">
        <f t="shared" si="131"/>
        <v/>
      </c>
      <c r="AN326" s="306" t="s">
        <v>4454</v>
      </c>
      <c r="AO326" s="291" t="s">
        <v>4454</v>
      </c>
      <c r="AR326" s="47">
        <f t="shared" ref="AR326:AR340" si="139">U331-AB326</f>
        <v>100000</v>
      </c>
      <c r="AS326" s="54"/>
      <c r="AT326" s="55"/>
      <c r="AU326" s="56"/>
      <c r="AV326" s="57" t="e">
        <f>#REF!-#REF!</f>
        <v>#REF!</v>
      </c>
    </row>
    <row r="327" spans="1:48" ht="31.5" customHeight="1" outlineLevel="2">
      <c r="A327" s="291" t="s">
        <v>4454</v>
      </c>
      <c r="B327" s="482"/>
      <c r="C327" s="458">
        <v>99</v>
      </c>
      <c r="D327" s="291" t="s">
        <v>4454</v>
      </c>
      <c r="E327" s="407"/>
      <c r="F327" s="428" t="s">
        <v>4621</v>
      </c>
      <c r="G327" s="409"/>
      <c r="H327" s="922" t="s">
        <v>4625</v>
      </c>
      <c r="I327" s="901"/>
      <c r="J327" s="902"/>
      <c r="K327" s="923"/>
      <c r="L327" s="413"/>
      <c r="M327" s="414" t="str">
        <f t="shared" si="135"/>
        <v/>
      </c>
      <c r="N327" s="415"/>
      <c r="O327" s="264">
        <v>100000</v>
      </c>
      <c r="P327" s="465"/>
      <c r="Q327" s="40">
        <f t="shared" si="136"/>
        <v>20000</v>
      </c>
      <c r="R327" s="41">
        <v>20000</v>
      </c>
      <c r="S327" s="42"/>
      <c r="T327" s="466"/>
      <c r="U327" s="544">
        <v>50000</v>
      </c>
      <c r="V327" s="44"/>
      <c r="W327" s="49"/>
      <c r="X327" s="44"/>
      <c r="Y327" s="49"/>
      <c r="Z327" s="220"/>
      <c r="AA327" s="47">
        <f t="shared" si="137"/>
        <v>20000</v>
      </c>
      <c r="AB327" s="48">
        <f t="shared" si="138"/>
        <v>0</v>
      </c>
      <c r="AC327" s="265"/>
      <c r="AD327" s="924">
        <f t="shared" si="122"/>
        <v>0</v>
      </c>
      <c r="AE327" s="49"/>
      <c r="AF327" s="50"/>
      <c r="AG327" s="50"/>
      <c r="AH327" s="50"/>
      <c r="AI327" s="51"/>
      <c r="AJ327" s="52"/>
      <c r="AK327" s="53"/>
      <c r="AL327" s="442" t="s">
        <v>5695</v>
      </c>
      <c r="AM327" s="308" t="str">
        <f t="shared" si="131"/>
        <v/>
      </c>
      <c r="AN327" s="306" t="s">
        <v>4454</v>
      </c>
      <c r="AO327" s="291" t="s">
        <v>4454</v>
      </c>
      <c r="AR327" s="47">
        <f t="shared" si="139"/>
        <v>150000</v>
      </c>
      <c r="AS327" s="54"/>
      <c r="AT327" s="55"/>
      <c r="AU327" s="56"/>
      <c r="AV327" s="57" t="e">
        <f>#REF!-#REF!</f>
        <v>#REF!</v>
      </c>
    </row>
    <row r="328" spans="1:48" ht="31.5" customHeight="1" outlineLevel="2">
      <c r="A328" s="291" t="s">
        <v>4454</v>
      </c>
      <c r="B328" s="482"/>
      <c r="C328" s="458">
        <v>99</v>
      </c>
      <c r="D328" s="291" t="s">
        <v>4454</v>
      </c>
      <c r="E328" s="407"/>
      <c r="F328" s="428" t="s">
        <v>4621</v>
      </c>
      <c r="G328" s="409"/>
      <c r="H328" s="922" t="s">
        <v>4626</v>
      </c>
      <c r="I328" s="901"/>
      <c r="J328" s="902"/>
      <c r="K328" s="923"/>
      <c r="L328" s="413"/>
      <c r="M328" s="414" t="str">
        <f t="shared" si="135"/>
        <v/>
      </c>
      <c r="N328" s="415"/>
      <c r="O328" s="264">
        <v>2000000</v>
      </c>
      <c r="P328" s="465"/>
      <c r="Q328" s="40">
        <f t="shared" si="136"/>
        <v>2000000</v>
      </c>
      <c r="R328" s="41">
        <v>2000000</v>
      </c>
      <c r="S328" s="42"/>
      <c r="T328" s="466"/>
      <c r="U328" s="544">
        <v>2080000</v>
      </c>
      <c r="V328" s="44"/>
      <c r="W328" s="49"/>
      <c r="X328" s="44"/>
      <c r="Y328" s="49"/>
      <c r="Z328" s="220"/>
      <c r="AA328" s="47">
        <f t="shared" si="137"/>
        <v>2000000</v>
      </c>
      <c r="AB328" s="48">
        <f t="shared" si="138"/>
        <v>0</v>
      </c>
      <c r="AC328" s="265"/>
      <c r="AD328" s="924">
        <f t="shared" si="122"/>
        <v>0</v>
      </c>
      <c r="AE328" s="49"/>
      <c r="AF328" s="50"/>
      <c r="AG328" s="50"/>
      <c r="AH328" s="50"/>
      <c r="AI328" s="51"/>
      <c r="AJ328" s="52"/>
      <c r="AK328" s="53"/>
      <c r="AL328" s="442" t="s">
        <v>5696</v>
      </c>
      <c r="AM328" s="308" t="str">
        <f t="shared" si="131"/>
        <v/>
      </c>
      <c r="AN328" s="306" t="s">
        <v>4454</v>
      </c>
      <c r="AO328" s="291" t="s">
        <v>4454</v>
      </c>
      <c r="AR328" s="47">
        <f t="shared" si="139"/>
        <v>450000</v>
      </c>
      <c r="AS328" s="54"/>
      <c r="AT328" s="55"/>
      <c r="AU328" s="56"/>
      <c r="AV328" s="57" t="e">
        <f>#REF!-#REF!</f>
        <v>#REF!</v>
      </c>
    </row>
    <row r="329" spans="1:48" ht="31.5" customHeight="1" outlineLevel="2">
      <c r="A329" s="291" t="s">
        <v>4454</v>
      </c>
      <c r="B329" s="482"/>
      <c r="C329" s="458">
        <v>99</v>
      </c>
      <c r="D329" s="291" t="s">
        <v>4454</v>
      </c>
      <c r="E329" s="407"/>
      <c r="F329" s="428" t="s">
        <v>4621</v>
      </c>
      <c r="G329" s="409"/>
      <c r="H329" s="922" t="s">
        <v>4627</v>
      </c>
      <c r="I329" s="901"/>
      <c r="J329" s="902"/>
      <c r="K329" s="923"/>
      <c r="L329" s="413"/>
      <c r="M329" s="414" t="str">
        <f t="shared" si="135"/>
        <v/>
      </c>
      <c r="N329" s="415"/>
      <c r="O329" s="264">
        <v>920000</v>
      </c>
      <c r="P329" s="465"/>
      <c r="Q329" s="40">
        <f t="shared" si="136"/>
        <v>800000</v>
      </c>
      <c r="R329" s="41">
        <v>800000</v>
      </c>
      <c r="S329" s="42"/>
      <c r="T329" s="466"/>
      <c r="U329" s="544">
        <v>750000</v>
      </c>
      <c r="V329" s="44"/>
      <c r="W329" s="49"/>
      <c r="X329" s="44"/>
      <c r="Y329" s="49"/>
      <c r="Z329" s="220"/>
      <c r="AA329" s="47">
        <f t="shared" si="137"/>
        <v>800000</v>
      </c>
      <c r="AB329" s="48">
        <f t="shared" si="138"/>
        <v>0</v>
      </c>
      <c r="AC329" s="265"/>
      <c r="AD329" s="924">
        <f t="shared" si="122"/>
        <v>0</v>
      </c>
      <c r="AE329" s="49"/>
      <c r="AF329" s="50"/>
      <c r="AG329" s="50"/>
      <c r="AH329" s="50"/>
      <c r="AI329" s="51"/>
      <c r="AJ329" s="52"/>
      <c r="AK329" s="53"/>
      <c r="AL329" s="442" t="s">
        <v>4628</v>
      </c>
      <c r="AM329" s="308" t="str">
        <f t="shared" si="131"/>
        <v/>
      </c>
      <c r="AN329" s="306" t="s">
        <v>4454</v>
      </c>
      <c r="AO329" s="291" t="s">
        <v>4454</v>
      </c>
      <c r="AR329" s="47">
        <f t="shared" si="139"/>
        <v>420000</v>
      </c>
      <c r="AS329" s="54"/>
      <c r="AT329" s="55"/>
      <c r="AU329" s="56"/>
      <c r="AV329" s="57" t="e">
        <f>#REF!-#REF!</f>
        <v>#REF!</v>
      </c>
    </row>
    <row r="330" spans="1:48" ht="31.5" customHeight="1" outlineLevel="2">
      <c r="A330" s="291" t="s">
        <v>4454</v>
      </c>
      <c r="B330" s="482"/>
      <c r="C330" s="458">
        <v>99</v>
      </c>
      <c r="D330" s="291" t="s">
        <v>4454</v>
      </c>
      <c r="E330" s="407"/>
      <c r="F330" s="428" t="s">
        <v>4621</v>
      </c>
      <c r="G330" s="409"/>
      <c r="H330" s="922" t="s">
        <v>4629</v>
      </c>
      <c r="I330" s="901"/>
      <c r="J330" s="902"/>
      <c r="K330" s="923"/>
      <c r="L330" s="413"/>
      <c r="M330" s="414" t="str">
        <f t="shared" si="135"/>
        <v/>
      </c>
      <c r="N330" s="415"/>
      <c r="O330" s="264">
        <v>30000</v>
      </c>
      <c r="P330" s="465"/>
      <c r="Q330" s="40">
        <f t="shared" si="136"/>
        <v>20000</v>
      </c>
      <c r="R330" s="41">
        <v>20000</v>
      </c>
      <c r="S330" s="42"/>
      <c r="T330" s="466"/>
      <c r="U330" s="544">
        <v>20000</v>
      </c>
      <c r="V330" s="44"/>
      <c r="W330" s="49"/>
      <c r="X330" s="44"/>
      <c r="Y330" s="49"/>
      <c r="Z330" s="220"/>
      <c r="AA330" s="47">
        <f t="shared" si="137"/>
        <v>20000</v>
      </c>
      <c r="AB330" s="48">
        <f t="shared" si="138"/>
        <v>0</v>
      </c>
      <c r="AC330" s="265"/>
      <c r="AD330" s="924">
        <f t="shared" si="122"/>
        <v>0</v>
      </c>
      <c r="AE330" s="49"/>
      <c r="AF330" s="50"/>
      <c r="AG330" s="50"/>
      <c r="AH330" s="50"/>
      <c r="AI330" s="51"/>
      <c r="AJ330" s="52"/>
      <c r="AK330" s="53"/>
      <c r="AL330" s="442" t="s">
        <v>5697</v>
      </c>
      <c r="AM330" s="308" t="str">
        <f t="shared" si="131"/>
        <v/>
      </c>
      <c r="AN330" s="306" t="s">
        <v>4454</v>
      </c>
      <c r="AO330" s="291" t="s">
        <v>4454</v>
      </c>
      <c r="AR330" s="47">
        <f t="shared" si="139"/>
        <v>400000</v>
      </c>
      <c r="AS330" s="54"/>
      <c r="AT330" s="55"/>
      <c r="AU330" s="56"/>
      <c r="AV330" s="57" t="e">
        <f>#REF!-#REF!</f>
        <v>#REF!</v>
      </c>
    </row>
    <row r="331" spans="1:48" ht="31.5" customHeight="1" outlineLevel="2">
      <c r="A331" s="291" t="s">
        <v>4454</v>
      </c>
      <c r="B331" s="482"/>
      <c r="C331" s="458">
        <v>99</v>
      </c>
      <c r="D331" s="291" t="s">
        <v>4454</v>
      </c>
      <c r="E331" s="407"/>
      <c r="F331" s="428" t="s">
        <v>4621</v>
      </c>
      <c r="G331" s="409"/>
      <c r="H331" s="922" t="s">
        <v>4630</v>
      </c>
      <c r="I331" s="901"/>
      <c r="J331" s="902"/>
      <c r="K331" s="923"/>
      <c r="L331" s="413"/>
      <c r="M331" s="414" t="str">
        <f t="shared" si="135"/>
        <v/>
      </c>
      <c r="N331" s="415"/>
      <c r="O331" s="264">
        <v>100000</v>
      </c>
      <c r="P331" s="465"/>
      <c r="Q331" s="40">
        <f t="shared" si="136"/>
        <v>20000</v>
      </c>
      <c r="R331" s="41">
        <v>20000</v>
      </c>
      <c r="S331" s="42"/>
      <c r="T331" s="466"/>
      <c r="U331" s="544">
        <v>100000</v>
      </c>
      <c r="V331" s="44"/>
      <c r="W331" s="49"/>
      <c r="X331" s="44"/>
      <c r="Y331" s="49"/>
      <c r="Z331" s="220"/>
      <c r="AA331" s="47">
        <f t="shared" si="137"/>
        <v>20000</v>
      </c>
      <c r="AB331" s="48">
        <f t="shared" si="138"/>
        <v>0</v>
      </c>
      <c r="AC331" s="265"/>
      <c r="AD331" s="924">
        <f t="shared" si="122"/>
        <v>0</v>
      </c>
      <c r="AE331" s="49"/>
      <c r="AF331" s="50"/>
      <c r="AG331" s="50"/>
      <c r="AH331" s="50"/>
      <c r="AI331" s="51"/>
      <c r="AJ331" s="52"/>
      <c r="AK331" s="53"/>
      <c r="AL331" s="442"/>
      <c r="AM331" s="308" t="str">
        <f t="shared" si="131"/>
        <v/>
      </c>
      <c r="AN331" s="306" t="s">
        <v>4454</v>
      </c>
      <c r="AO331" s="291" t="s">
        <v>4454</v>
      </c>
      <c r="AR331" s="47">
        <f t="shared" si="139"/>
        <v>6120000</v>
      </c>
      <c r="AS331" s="54"/>
      <c r="AT331" s="55"/>
      <c r="AU331" s="56"/>
      <c r="AV331" s="57" t="e">
        <f>#REF!-#REF!</f>
        <v>#REF!</v>
      </c>
    </row>
    <row r="332" spans="1:48" ht="31.5" customHeight="1" outlineLevel="2">
      <c r="A332" s="291" t="s">
        <v>4454</v>
      </c>
      <c r="B332" s="482"/>
      <c r="C332" s="458">
        <v>99</v>
      </c>
      <c r="D332" s="291" t="s">
        <v>4454</v>
      </c>
      <c r="E332" s="407"/>
      <c r="F332" s="428" t="s">
        <v>4621</v>
      </c>
      <c r="G332" s="409"/>
      <c r="H332" s="922" t="s">
        <v>4631</v>
      </c>
      <c r="I332" s="901"/>
      <c r="J332" s="902"/>
      <c r="K332" s="923"/>
      <c r="L332" s="413"/>
      <c r="M332" s="414" t="str">
        <f t="shared" si="135"/>
        <v/>
      </c>
      <c r="N332" s="415"/>
      <c r="O332" s="264">
        <v>200000</v>
      </c>
      <c r="P332" s="465"/>
      <c r="Q332" s="40">
        <f t="shared" si="136"/>
        <v>150000</v>
      </c>
      <c r="R332" s="41">
        <v>150000</v>
      </c>
      <c r="S332" s="42"/>
      <c r="T332" s="466"/>
      <c r="U332" s="544">
        <v>150000</v>
      </c>
      <c r="V332" s="44"/>
      <c r="W332" s="49"/>
      <c r="X332" s="44"/>
      <c r="Y332" s="49"/>
      <c r="Z332" s="220"/>
      <c r="AA332" s="47">
        <f t="shared" si="137"/>
        <v>150000</v>
      </c>
      <c r="AB332" s="48">
        <f t="shared" si="138"/>
        <v>0</v>
      </c>
      <c r="AC332" s="265"/>
      <c r="AD332" s="924">
        <f t="shared" si="122"/>
        <v>0</v>
      </c>
      <c r="AE332" s="49"/>
      <c r="AF332" s="50"/>
      <c r="AG332" s="50"/>
      <c r="AH332" s="50"/>
      <c r="AI332" s="51"/>
      <c r="AJ332" s="52"/>
      <c r="AK332" s="53"/>
      <c r="AL332" s="442" t="s">
        <v>4632</v>
      </c>
      <c r="AM332" s="308" t="str">
        <f t="shared" si="131"/>
        <v/>
      </c>
      <c r="AN332" s="306" t="s">
        <v>4454</v>
      </c>
      <c r="AO332" s="291" t="s">
        <v>4454</v>
      </c>
      <c r="AR332" s="47">
        <f t="shared" si="139"/>
        <v>2200000</v>
      </c>
      <c r="AS332" s="54"/>
      <c r="AT332" s="55"/>
      <c r="AU332" s="56"/>
      <c r="AV332" s="57" t="e">
        <f>#REF!-#REF!</f>
        <v>#REF!</v>
      </c>
    </row>
    <row r="333" spans="1:48" ht="31.5" customHeight="1" outlineLevel="2">
      <c r="A333" s="291" t="s">
        <v>4454</v>
      </c>
      <c r="B333" s="482"/>
      <c r="C333" s="458">
        <v>99</v>
      </c>
      <c r="D333" s="291" t="s">
        <v>4454</v>
      </c>
      <c r="E333" s="407"/>
      <c r="F333" s="428" t="s">
        <v>4621</v>
      </c>
      <c r="G333" s="409"/>
      <c r="H333" s="922" t="s">
        <v>4633</v>
      </c>
      <c r="I333" s="901"/>
      <c r="J333" s="902"/>
      <c r="K333" s="923"/>
      <c r="L333" s="413"/>
      <c r="M333" s="414" t="str">
        <f t="shared" si="135"/>
        <v/>
      </c>
      <c r="N333" s="415"/>
      <c r="O333" s="264">
        <v>400000</v>
      </c>
      <c r="P333" s="465"/>
      <c r="Q333" s="40">
        <f t="shared" si="136"/>
        <v>500000</v>
      </c>
      <c r="R333" s="41">
        <v>500000</v>
      </c>
      <c r="S333" s="42"/>
      <c r="T333" s="466"/>
      <c r="U333" s="544">
        <v>450000</v>
      </c>
      <c r="V333" s="44"/>
      <c r="W333" s="49"/>
      <c r="X333" s="44"/>
      <c r="Y333" s="49"/>
      <c r="Z333" s="220"/>
      <c r="AA333" s="47">
        <f t="shared" si="137"/>
        <v>500000</v>
      </c>
      <c r="AB333" s="48">
        <f t="shared" si="138"/>
        <v>0</v>
      </c>
      <c r="AC333" s="265"/>
      <c r="AD333" s="924">
        <f t="shared" si="122"/>
        <v>0</v>
      </c>
      <c r="AE333" s="49"/>
      <c r="AF333" s="50"/>
      <c r="AG333" s="50"/>
      <c r="AH333" s="50"/>
      <c r="AI333" s="51"/>
      <c r="AJ333" s="52"/>
      <c r="AK333" s="53"/>
      <c r="AL333" s="442" t="s">
        <v>4634</v>
      </c>
      <c r="AM333" s="308" t="str">
        <f t="shared" si="131"/>
        <v/>
      </c>
      <c r="AN333" s="306" t="s">
        <v>4454</v>
      </c>
      <c r="AO333" s="291" t="s">
        <v>4454</v>
      </c>
      <c r="AR333" s="47">
        <f t="shared" si="139"/>
        <v>20000</v>
      </c>
      <c r="AS333" s="54"/>
      <c r="AT333" s="55"/>
      <c r="AU333" s="56"/>
      <c r="AV333" s="57" t="e">
        <f>#REF!-#REF!</f>
        <v>#REF!</v>
      </c>
    </row>
    <row r="334" spans="1:48" ht="31.5" customHeight="1" outlineLevel="2">
      <c r="A334" s="291" t="s">
        <v>4454</v>
      </c>
      <c r="B334" s="482"/>
      <c r="C334" s="458">
        <v>99</v>
      </c>
      <c r="D334" s="291" t="s">
        <v>4454</v>
      </c>
      <c r="E334" s="407"/>
      <c r="F334" s="428" t="s">
        <v>4621</v>
      </c>
      <c r="G334" s="409"/>
      <c r="H334" s="922" t="s">
        <v>4635</v>
      </c>
      <c r="I334" s="901"/>
      <c r="J334" s="902"/>
      <c r="K334" s="923"/>
      <c r="L334" s="413"/>
      <c r="M334" s="414" t="str">
        <f t="shared" si="135"/>
        <v/>
      </c>
      <c r="N334" s="415"/>
      <c r="O334" s="264">
        <v>400000</v>
      </c>
      <c r="P334" s="465"/>
      <c r="Q334" s="40">
        <f t="shared" si="136"/>
        <v>500000</v>
      </c>
      <c r="R334" s="41">
        <v>500000</v>
      </c>
      <c r="S334" s="42"/>
      <c r="T334" s="466"/>
      <c r="U334" s="544">
        <v>420000</v>
      </c>
      <c r="V334" s="44"/>
      <c r="W334" s="49"/>
      <c r="X334" s="44"/>
      <c r="Y334" s="49"/>
      <c r="Z334" s="220"/>
      <c r="AA334" s="47">
        <f t="shared" si="137"/>
        <v>500000</v>
      </c>
      <c r="AB334" s="48">
        <f t="shared" si="138"/>
        <v>0</v>
      </c>
      <c r="AC334" s="265"/>
      <c r="AD334" s="924">
        <f t="shared" si="122"/>
        <v>0</v>
      </c>
      <c r="AE334" s="49"/>
      <c r="AF334" s="50"/>
      <c r="AG334" s="50"/>
      <c r="AH334" s="50"/>
      <c r="AI334" s="51"/>
      <c r="AJ334" s="52"/>
      <c r="AK334" s="53"/>
      <c r="AL334" s="442" t="s">
        <v>4636</v>
      </c>
      <c r="AM334" s="308" t="str">
        <f t="shared" si="131"/>
        <v/>
      </c>
      <c r="AN334" s="306" t="s">
        <v>4454</v>
      </c>
      <c r="AO334" s="291" t="s">
        <v>4454</v>
      </c>
      <c r="AR334" s="47">
        <f t="shared" si="139"/>
        <v>180000</v>
      </c>
      <c r="AS334" s="54"/>
      <c r="AT334" s="55"/>
      <c r="AU334" s="56"/>
      <c r="AV334" s="57" t="e">
        <f>#REF!-#REF!</f>
        <v>#REF!</v>
      </c>
    </row>
    <row r="335" spans="1:48" ht="31.5" customHeight="1" outlineLevel="2">
      <c r="A335" s="291" t="s">
        <v>4454</v>
      </c>
      <c r="B335" s="482"/>
      <c r="C335" s="458">
        <v>99</v>
      </c>
      <c r="D335" s="291" t="s">
        <v>4454</v>
      </c>
      <c r="E335" s="407"/>
      <c r="F335" s="428" t="s">
        <v>4621</v>
      </c>
      <c r="G335" s="409"/>
      <c r="H335" s="922" t="s">
        <v>4637</v>
      </c>
      <c r="I335" s="901"/>
      <c r="J335" s="902"/>
      <c r="K335" s="923"/>
      <c r="L335" s="413"/>
      <c r="M335" s="414" t="str">
        <f t="shared" si="135"/>
        <v/>
      </c>
      <c r="N335" s="415"/>
      <c r="O335" s="264">
        <v>360000</v>
      </c>
      <c r="P335" s="465"/>
      <c r="Q335" s="40">
        <v>400000</v>
      </c>
      <c r="R335" s="41">
        <v>400000</v>
      </c>
      <c r="S335" s="42"/>
      <c r="T335" s="466"/>
      <c r="U335" s="544">
        <v>400000</v>
      </c>
      <c r="V335" s="44"/>
      <c r="W335" s="49"/>
      <c r="X335" s="44"/>
      <c r="Y335" s="49"/>
      <c r="Z335" s="220"/>
      <c r="AA335" s="47">
        <f t="shared" si="137"/>
        <v>400000</v>
      </c>
      <c r="AB335" s="48">
        <f t="shared" si="138"/>
        <v>0</v>
      </c>
      <c r="AC335" s="265"/>
      <c r="AD335" s="924">
        <f t="shared" si="122"/>
        <v>0</v>
      </c>
      <c r="AE335" s="49"/>
      <c r="AF335" s="50"/>
      <c r="AG335" s="50"/>
      <c r="AH335" s="50"/>
      <c r="AI335" s="51"/>
      <c r="AJ335" s="52"/>
      <c r="AK335" s="53"/>
      <c r="AL335" s="442" t="s">
        <v>5698</v>
      </c>
      <c r="AM335" s="308" t="str">
        <f t="shared" si="131"/>
        <v/>
      </c>
      <c r="AN335" s="306" t="s">
        <v>4454</v>
      </c>
      <c r="AO335" s="291" t="s">
        <v>4454</v>
      </c>
      <c r="AR335" s="47">
        <f t="shared" si="139"/>
        <v>260000</v>
      </c>
      <c r="AS335" s="54"/>
      <c r="AT335" s="55"/>
      <c r="AU335" s="56"/>
      <c r="AV335" s="57" t="e">
        <f>#REF!-#REF!</f>
        <v>#REF!</v>
      </c>
    </row>
    <row r="336" spans="1:48" ht="31.5" customHeight="1" outlineLevel="2">
      <c r="A336" s="291" t="s">
        <v>4454</v>
      </c>
      <c r="B336" s="482"/>
      <c r="C336" s="458">
        <v>99</v>
      </c>
      <c r="D336" s="291" t="s">
        <v>4454</v>
      </c>
      <c r="E336" s="407"/>
      <c r="F336" s="428" t="s">
        <v>4621</v>
      </c>
      <c r="G336" s="409"/>
      <c r="H336" s="922" t="s">
        <v>4638</v>
      </c>
      <c r="I336" s="901"/>
      <c r="J336" s="902"/>
      <c r="K336" s="923"/>
      <c r="L336" s="413"/>
      <c r="M336" s="414" t="str">
        <f t="shared" si="135"/>
        <v/>
      </c>
      <c r="N336" s="415"/>
      <c r="O336" s="264">
        <v>6000000</v>
      </c>
      <c r="P336" s="465"/>
      <c r="Q336" s="40">
        <f t="shared" si="136"/>
        <v>6250000</v>
      </c>
      <c r="R336" s="41">
        <v>6250000</v>
      </c>
      <c r="S336" s="42"/>
      <c r="T336" s="466"/>
      <c r="U336" s="544">
        <v>6120000</v>
      </c>
      <c r="V336" s="44"/>
      <c r="W336" s="49"/>
      <c r="X336" s="44"/>
      <c r="Y336" s="49"/>
      <c r="Z336" s="220"/>
      <c r="AA336" s="47">
        <f t="shared" si="137"/>
        <v>6250000</v>
      </c>
      <c r="AB336" s="48">
        <f t="shared" si="138"/>
        <v>0</v>
      </c>
      <c r="AC336" s="265"/>
      <c r="AD336" s="924">
        <f t="shared" si="122"/>
        <v>0</v>
      </c>
      <c r="AE336" s="49"/>
      <c r="AF336" s="50"/>
      <c r="AG336" s="50"/>
      <c r="AH336" s="50"/>
      <c r="AI336" s="51"/>
      <c r="AJ336" s="52"/>
      <c r="AK336" s="53"/>
      <c r="AL336" s="442" t="s">
        <v>5699</v>
      </c>
      <c r="AM336" s="308" t="str">
        <f t="shared" si="131"/>
        <v/>
      </c>
      <c r="AN336" s="306" t="s">
        <v>4454</v>
      </c>
      <c r="AO336" s="291" t="s">
        <v>4454</v>
      </c>
      <c r="AR336" s="47">
        <f t="shared" si="139"/>
        <v>300000</v>
      </c>
      <c r="AS336" s="54"/>
      <c r="AT336" s="55"/>
      <c r="AU336" s="56"/>
      <c r="AV336" s="57" t="e">
        <f>#REF!-#REF!</f>
        <v>#REF!</v>
      </c>
    </row>
    <row r="337" spans="1:48" ht="31.5" customHeight="1" outlineLevel="2">
      <c r="A337" s="291" t="s">
        <v>4454</v>
      </c>
      <c r="B337" s="482"/>
      <c r="C337" s="458">
        <v>99</v>
      </c>
      <c r="D337" s="291" t="s">
        <v>4454</v>
      </c>
      <c r="E337" s="407"/>
      <c r="F337" s="428" t="s">
        <v>4621</v>
      </c>
      <c r="G337" s="409"/>
      <c r="H337" s="922" t="s">
        <v>4639</v>
      </c>
      <c r="I337" s="901"/>
      <c r="J337" s="902"/>
      <c r="K337" s="923"/>
      <c r="L337" s="413"/>
      <c r="M337" s="414"/>
      <c r="N337" s="415"/>
      <c r="O337" s="264">
        <v>2200000</v>
      </c>
      <c r="P337" s="465"/>
      <c r="Q337" s="40">
        <f t="shared" si="136"/>
        <v>2600000</v>
      </c>
      <c r="R337" s="41">
        <v>2600000</v>
      </c>
      <c r="S337" s="42"/>
      <c r="T337" s="466"/>
      <c r="U337" s="544">
        <v>2200000</v>
      </c>
      <c r="V337" s="44"/>
      <c r="W337" s="49"/>
      <c r="X337" s="44"/>
      <c r="Y337" s="49"/>
      <c r="Z337" s="220"/>
      <c r="AA337" s="47">
        <f t="shared" si="137"/>
        <v>2600000</v>
      </c>
      <c r="AB337" s="48">
        <f t="shared" si="138"/>
        <v>0</v>
      </c>
      <c r="AC337" s="265"/>
      <c r="AD337" s="924">
        <f t="shared" si="122"/>
        <v>0</v>
      </c>
      <c r="AE337" s="49"/>
      <c r="AF337" s="50"/>
      <c r="AG337" s="50"/>
      <c r="AH337" s="50"/>
      <c r="AI337" s="51"/>
      <c r="AJ337" s="52"/>
      <c r="AK337" s="53"/>
      <c r="AL337" s="442" t="s">
        <v>5700</v>
      </c>
      <c r="AM337" s="308" t="str">
        <f t="shared" si="131"/>
        <v/>
      </c>
      <c r="AN337" s="306" t="s">
        <v>4454</v>
      </c>
      <c r="AO337" s="291" t="s">
        <v>4454</v>
      </c>
      <c r="AR337" s="47">
        <f t="shared" si="139"/>
        <v>220000</v>
      </c>
      <c r="AS337" s="54"/>
      <c r="AT337" s="55"/>
      <c r="AU337" s="56"/>
      <c r="AV337" s="57" t="e">
        <f>#REF!-#REF!</f>
        <v>#REF!</v>
      </c>
    </row>
    <row r="338" spans="1:48" ht="31.5" customHeight="1" outlineLevel="2">
      <c r="A338" s="291" t="s">
        <v>4454</v>
      </c>
      <c r="B338" s="482"/>
      <c r="C338" s="458">
        <v>99</v>
      </c>
      <c r="D338" s="291" t="s">
        <v>4454</v>
      </c>
      <c r="E338" s="407"/>
      <c r="F338" s="428" t="s">
        <v>4621</v>
      </c>
      <c r="G338" s="409"/>
      <c r="H338" s="922" t="s">
        <v>4640</v>
      </c>
      <c r="I338" s="901"/>
      <c r="J338" s="902"/>
      <c r="K338" s="923"/>
      <c r="L338" s="413"/>
      <c r="M338" s="414" t="str">
        <f>IF(N338="","","～")</f>
        <v/>
      </c>
      <c r="N338" s="415"/>
      <c r="O338" s="264">
        <v>50000</v>
      </c>
      <c r="P338" s="465"/>
      <c r="Q338" s="40">
        <f t="shared" si="136"/>
        <v>90000</v>
      </c>
      <c r="R338" s="41">
        <f>20000+70000</f>
        <v>90000</v>
      </c>
      <c r="S338" s="42"/>
      <c r="T338" s="466"/>
      <c r="U338" s="544">
        <v>20000</v>
      </c>
      <c r="V338" s="44"/>
      <c r="W338" s="49"/>
      <c r="X338" s="44"/>
      <c r="Y338" s="49"/>
      <c r="Z338" s="220"/>
      <c r="AA338" s="47">
        <f t="shared" si="137"/>
        <v>90000</v>
      </c>
      <c r="AB338" s="48">
        <f t="shared" si="138"/>
        <v>0</v>
      </c>
      <c r="AC338" s="265"/>
      <c r="AD338" s="924">
        <f t="shared" si="122"/>
        <v>0</v>
      </c>
      <c r="AE338" s="49"/>
      <c r="AF338" s="50"/>
      <c r="AG338" s="50"/>
      <c r="AH338" s="50"/>
      <c r="AI338" s="51"/>
      <c r="AJ338" s="52"/>
      <c r="AK338" s="53"/>
      <c r="AL338" s="442" t="s">
        <v>4641</v>
      </c>
      <c r="AM338" s="308" t="str">
        <f t="shared" si="131"/>
        <v/>
      </c>
      <c r="AN338" s="306" t="s">
        <v>4454</v>
      </c>
      <c r="AO338" s="291" t="s">
        <v>4454</v>
      </c>
      <c r="AR338" s="47">
        <f t="shared" si="139"/>
        <v>220000</v>
      </c>
      <c r="AS338" s="54"/>
      <c r="AT338" s="55"/>
      <c r="AU338" s="56"/>
      <c r="AV338" s="57" t="e">
        <f>#REF!-#REF!</f>
        <v>#REF!</v>
      </c>
    </row>
    <row r="339" spans="1:48" ht="31.5" customHeight="1" outlineLevel="2">
      <c r="A339" s="291" t="s">
        <v>4454</v>
      </c>
      <c r="B339" s="482"/>
      <c r="C339" s="458">
        <v>99</v>
      </c>
      <c r="D339" s="291" t="s">
        <v>4454</v>
      </c>
      <c r="E339" s="407"/>
      <c r="F339" s="428" t="s">
        <v>4621</v>
      </c>
      <c r="G339" s="409"/>
      <c r="H339" s="922" t="s">
        <v>4642</v>
      </c>
      <c r="I339" s="901"/>
      <c r="J339" s="902"/>
      <c r="K339" s="923"/>
      <c r="L339" s="413"/>
      <c r="M339" s="414" t="str">
        <f>IF(N339="","","～")</f>
        <v/>
      </c>
      <c r="N339" s="415"/>
      <c r="O339" s="264">
        <v>100000</v>
      </c>
      <c r="P339" s="465"/>
      <c r="Q339" s="40">
        <f t="shared" si="136"/>
        <v>100000</v>
      </c>
      <c r="R339" s="41">
        <v>100000</v>
      </c>
      <c r="S339" s="42"/>
      <c r="T339" s="466"/>
      <c r="U339" s="544">
        <v>180000</v>
      </c>
      <c r="V339" s="44"/>
      <c r="W339" s="49"/>
      <c r="X339" s="44"/>
      <c r="Y339" s="49"/>
      <c r="Z339" s="220"/>
      <c r="AA339" s="47">
        <f t="shared" si="137"/>
        <v>100000</v>
      </c>
      <c r="AB339" s="48">
        <f t="shared" si="138"/>
        <v>0</v>
      </c>
      <c r="AC339" s="265"/>
      <c r="AD339" s="924">
        <f t="shared" si="122"/>
        <v>0</v>
      </c>
      <c r="AE339" s="49"/>
      <c r="AF339" s="50"/>
      <c r="AG339" s="50"/>
      <c r="AH339" s="50"/>
      <c r="AI339" s="51"/>
      <c r="AJ339" s="52"/>
      <c r="AK339" s="53"/>
      <c r="AL339" s="442" t="s">
        <v>4643</v>
      </c>
      <c r="AM339" s="308" t="str">
        <f t="shared" si="131"/>
        <v/>
      </c>
      <c r="AN339" s="306" t="s">
        <v>4454</v>
      </c>
      <c r="AO339" s="291" t="s">
        <v>4454</v>
      </c>
      <c r="AR339" s="47">
        <f t="shared" si="139"/>
        <v>46440000</v>
      </c>
      <c r="AS339" s="54"/>
      <c r="AT339" s="55"/>
      <c r="AU339" s="56"/>
      <c r="AV339" s="57" t="e">
        <f>#REF!-#REF!</f>
        <v>#REF!</v>
      </c>
    </row>
    <row r="340" spans="1:48" ht="31.5" customHeight="1" outlineLevel="2">
      <c r="A340" s="291" t="s">
        <v>4454</v>
      </c>
      <c r="B340" s="482"/>
      <c r="C340" s="458">
        <v>99</v>
      </c>
      <c r="D340" s="291" t="s">
        <v>4454</v>
      </c>
      <c r="E340" s="407"/>
      <c r="F340" s="428" t="s">
        <v>4621</v>
      </c>
      <c r="G340" s="409"/>
      <c r="H340" s="922" t="s">
        <v>4644</v>
      </c>
      <c r="I340" s="901"/>
      <c r="J340" s="902"/>
      <c r="K340" s="923"/>
      <c r="L340" s="413"/>
      <c r="M340" s="414" t="str">
        <f>IF(N340="","","～")</f>
        <v/>
      </c>
      <c r="N340" s="415"/>
      <c r="O340" s="264">
        <v>260000</v>
      </c>
      <c r="P340" s="465"/>
      <c r="Q340" s="40">
        <f t="shared" si="136"/>
        <v>240000</v>
      </c>
      <c r="R340" s="41">
        <v>240000</v>
      </c>
      <c r="S340" s="42"/>
      <c r="T340" s="466"/>
      <c r="U340" s="544">
        <v>260000</v>
      </c>
      <c r="V340" s="44"/>
      <c r="W340" s="49"/>
      <c r="X340" s="44"/>
      <c r="Y340" s="49"/>
      <c r="Z340" s="220"/>
      <c r="AA340" s="47">
        <f t="shared" si="137"/>
        <v>240000</v>
      </c>
      <c r="AB340" s="48">
        <f t="shared" si="138"/>
        <v>0</v>
      </c>
      <c r="AC340" s="265"/>
      <c r="AD340" s="924">
        <f t="shared" si="122"/>
        <v>0</v>
      </c>
      <c r="AE340" s="49"/>
      <c r="AF340" s="50"/>
      <c r="AG340" s="50"/>
      <c r="AH340" s="50"/>
      <c r="AI340" s="51"/>
      <c r="AJ340" s="52"/>
      <c r="AK340" s="53"/>
      <c r="AL340" s="442" t="s">
        <v>4645</v>
      </c>
      <c r="AM340" s="308" t="str">
        <f t="shared" si="131"/>
        <v/>
      </c>
      <c r="AN340" s="306" t="s">
        <v>4454</v>
      </c>
      <c r="AO340" s="291" t="s">
        <v>4454</v>
      </c>
      <c r="AR340" s="47">
        <f t="shared" si="139"/>
        <v>0</v>
      </c>
      <c r="AS340" s="54"/>
      <c r="AT340" s="55"/>
      <c r="AU340" s="56"/>
      <c r="AV340" s="57" t="e">
        <f>#REF!-#REF!</f>
        <v>#REF!</v>
      </c>
    </row>
    <row r="341" spans="1:48" ht="31.5" customHeight="1" outlineLevel="2">
      <c r="A341" s="291" t="s">
        <v>4454</v>
      </c>
      <c r="B341" s="482"/>
      <c r="C341" s="458">
        <v>99</v>
      </c>
      <c r="D341" s="291" t="s">
        <v>4454</v>
      </c>
      <c r="E341" s="407"/>
      <c r="F341" s="428" t="s">
        <v>4621</v>
      </c>
      <c r="G341" s="409"/>
      <c r="H341" s="922" t="s">
        <v>4646</v>
      </c>
      <c r="I341" s="901"/>
      <c r="J341" s="902"/>
      <c r="K341" s="923"/>
      <c r="L341" s="413"/>
      <c r="M341" s="414" t="str">
        <f>IF(N341="","","～")</f>
        <v/>
      </c>
      <c r="N341" s="415"/>
      <c r="O341" s="264">
        <v>300000</v>
      </c>
      <c r="P341" s="465"/>
      <c r="Q341" s="40">
        <f t="shared" si="136"/>
        <v>150000</v>
      </c>
      <c r="R341" s="41">
        <v>150000</v>
      </c>
      <c r="S341" s="42"/>
      <c r="T341" s="466"/>
      <c r="U341" s="544">
        <v>300000</v>
      </c>
      <c r="V341" s="44"/>
      <c r="W341" s="49"/>
      <c r="X341" s="44"/>
      <c r="Y341" s="49"/>
      <c r="Z341" s="220"/>
      <c r="AA341" s="47">
        <f t="shared" si="137"/>
        <v>150000</v>
      </c>
      <c r="AB341" s="48">
        <f t="shared" si="138"/>
        <v>0</v>
      </c>
      <c r="AC341" s="265"/>
      <c r="AD341" s="924">
        <f t="shared" si="122"/>
        <v>0</v>
      </c>
      <c r="AE341" s="49"/>
      <c r="AF341" s="50"/>
      <c r="AG341" s="50"/>
      <c r="AH341" s="50"/>
      <c r="AI341" s="51"/>
      <c r="AJ341" s="52"/>
      <c r="AK341" s="53"/>
      <c r="AL341" s="442" t="s">
        <v>4647</v>
      </c>
      <c r="AM341" s="308" t="str">
        <f t="shared" si="131"/>
        <v/>
      </c>
      <c r="AN341" s="306" t="s">
        <v>4454</v>
      </c>
      <c r="AO341" s="291" t="s">
        <v>4454</v>
      </c>
      <c r="AR341" s="47" t="e">
        <f>#REF!-AB341</f>
        <v>#REF!</v>
      </c>
      <c r="AS341" s="54"/>
      <c r="AT341" s="55"/>
      <c r="AU341" s="56"/>
      <c r="AV341" s="57" t="e">
        <f>#REF!-#REF!</f>
        <v>#REF!</v>
      </c>
    </row>
    <row r="342" spans="1:48" ht="31.5" customHeight="1" outlineLevel="2">
      <c r="A342" s="291" t="s">
        <v>4454</v>
      </c>
      <c r="B342" s="482"/>
      <c r="C342" s="458">
        <v>99</v>
      </c>
      <c r="D342" s="291" t="s">
        <v>4454</v>
      </c>
      <c r="E342" s="407"/>
      <c r="F342" s="428" t="s">
        <v>4621</v>
      </c>
      <c r="G342" s="409"/>
      <c r="H342" s="922" t="s">
        <v>4648</v>
      </c>
      <c r="I342" s="901"/>
      <c r="J342" s="902"/>
      <c r="K342" s="923"/>
      <c r="L342" s="413"/>
      <c r="M342" s="414" t="str">
        <f>IF(N342="","","～")</f>
        <v/>
      </c>
      <c r="N342" s="415"/>
      <c r="O342" s="264">
        <v>180000</v>
      </c>
      <c r="P342" s="465"/>
      <c r="Q342" s="40">
        <f t="shared" si="136"/>
        <v>180000</v>
      </c>
      <c r="R342" s="41">
        <v>180000</v>
      </c>
      <c r="S342" s="42"/>
      <c r="T342" s="466"/>
      <c r="U342" s="544">
        <v>220000</v>
      </c>
      <c r="V342" s="44"/>
      <c r="W342" s="49"/>
      <c r="X342" s="44"/>
      <c r="Y342" s="49"/>
      <c r="Z342" s="220"/>
      <c r="AA342" s="47">
        <f t="shared" si="137"/>
        <v>180000</v>
      </c>
      <c r="AB342" s="48">
        <f t="shared" si="138"/>
        <v>0</v>
      </c>
      <c r="AC342" s="265"/>
      <c r="AD342" s="924">
        <f t="shared" si="122"/>
        <v>0</v>
      </c>
      <c r="AE342" s="49"/>
      <c r="AF342" s="50"/>
      <c r="AG342" s="50"/>
      <c r="AH342" s="50"/>
      <c r="AI342" s="51"/>
      <c r="AJ342" s="52"/>
      <c r="AK342" s="53"/>
      <c r="AL342" s="442" t="s">
        <v>4649</v>
      </c>
      <c r="AM342" s="308" t="str">
        <f t="shared" si="131"/>
        <v/>
      </c>
      <c r="AN342" s="306" t="s">
        <v>4454</v>
      </c>
      <c r="AO342" s="291" t="s">
        <v>4454</v>
      </c>
      <c r="AR342" s="47" t="e">
        <f>#REF!-AB342</f>
        <v>#REF!</v>
      </c>
      <c r="AS342" s="54"/>
      <c r="AT342" s="55"/>
      <c r="AU342" s="56"/>
      <c r="AV342" s="57" t="e">
        <f>#REF!-#REF!</f>
        <v>#REF!</v>
      </c>
    </row>
    <row r="343" spans="1:48" ht="31.5" customHeight="1" outlineLevel="2" thickBot="1">
      <c r="A343" s="291" t="s">
        <v>4454</v>
      </c>
      <c r="B343" s="482"/>
      <c r="C343" s="458">
        <v>99</v>
      </c>
      <c r="D343" s="291" t="s">
        <v>4454</v>
      </c>
      <c r="E343" s="407"/>
      <c r="F343" s="428" t="s">
        <v>4621</v>
      </c>
      <c r="G343" s="409"/>
      <c r="H343" s="922" t="s">
        <v>4650</v>
      </c>
      <c r="I343" s="901"/>
      <c r="J343" s="902"/>
      <c r="K343" s="925"/>
      <c r="L343" s="413"/>
      <c r="M343" s="414"/>
      <c r="N343" s="415"/>
      <c r="O343" s="264">
        <v>300000</v>
      </c>
      <c r="P343" s="465"/>
      <c r="Q343" s="40">
        <f t="shared" si="136"/>
        <v>220000</v>
      </c>
      <c r="R343" s="41">
        <v>220000</v>
      </c>
      <c r="S343" s="42"/>
      <c r="T343" s="466"/>
      <c r="U343" s="544">
        <v>220000</v>
      </c>
      <c r="V343" s="44"/>
      <c r="W343" s="49"/>
      <c r="X343" s="221"/>
      <c r="Y343" s="49"/>
      <c r="Z343" s="220"/>
      <c r="AA343" s="47">
        <f t="shared" si="137"/>
        <v>220000</v>
      </c>
      <c r="AB343" s="48">
        <f t="shared" si="138"/>
        <v>0</v>
      </c>
      <c r="AC343" s="265"/>
      <c r="AD343" s="924">
        <f t="shared" si="122"/>
        <v>0</v>
      </c>
      <c r="AE343" s="49"/>
      <c r="AF343" s="50"/>
      <c r="AG343" s="50"/>
      <c r="AH343" s="50"/>
      <c r="AI343" s="51"/>
      <c r="AJ343" s="52"/>
      <c r="AK343" s="53"/>
      <c r="AL343" s="442"/>
      <c r="AM343" s="308" t="str">
        <f t="shared" si="131"/>
        <v/>
      </c>
      <c r="AN343" s="306" t="s">
        <v>4454</v>
      </c>
      <c r="AO343" s="291" t="s">
        <v>4454</v>
      </c>
      <c r="AR343" s="47" t="e">
        <f>#REF!-AB343</f>
        <v>#REF!</v>
      </c>
      <c r="AS343" s="54"/>
      <c r="AT343" s="55"/>
      <c r="AU343" s="56"/>
      <c r="AV343" s="57" t="e">
        <f>#REF!-#REF!</f>
        <v>#REF!</v>
      </c>
    </row>
    <row r="344" spans="1:48" ht="25.5" customHeight="1" outlineLevel="1" thickBot="1">
      <c r="A344" s="291" t="s">
        <v>4454</v>
      </c>
      <c r="B344" s="507"/>
      <c r="C344" s="508"/>
      <c r="D344" s="291" t="s">
        <v>4454</v>
      </c>
      <c r="E344" s="509"/>
      <c r="F344" s="510" t="s">
        <v>4651</v>
      </c>
      <c r="G344" s="511"/>
      <c r="H344" s="926"/>
      <c r="I344" s="513"/>
      <c r="J344" s="514"/>
      <c r="K344" s="927"/>
      <c r="L344" s="928"/>
      <c r="M344" s="929"/>
      <c r="N344" s="518"/>
      <c r="O344" s="272">
        <v>45440000</v>
      </c>
      <c r="P344" s="520"/>
      <c r="Q344" s="222">
        <f>SUBTOTAL(9,Q325:Q343)</f>
        <v>46540000</v>
      </c>
      <c r="R344" s="223">
        <f>SUBTOTAL(9,R325:R343)</f>
        <v>31540000</v>
      </c>
      <c r="S344" s="93">
        <f>SUBTOTAL(9,S325:S343)</f>
        <v>15000000</v>
      </c>
      <c r="T344" s="524"/>
      <c r="U344" s="549">
        <v>46440000</v>
      </c>
      <c r="V344" s="94"/>
      <c r="W344" s="95"/>
      <c r="X344" s="97"/>
      <c r="Y344" s="97"/>
      <c r="Z344" s="97"/>
      <c r="AA344" s="106">
        <f>SUBTOTAL(9,AA325:AA343)</f>
        <v>46540000</v>
      </c>
      <c r="AB344" s="99">
        <f>SUBTOTAL(9,AB325:AB343)</f>
        <v>15000000</v>
      </c>
      <c r="AC344" s="273"/>
      <c r="AD344" s="904">
        <f t="shared" si="122"/>
        <v>15000000</v>
      </c>
      <c r="AE344" s="100">
        <f t="shared" ref="AE344:AK344" si="140">SUBTOTAL(9,AE325:AE343)</f>
        <v>0</v>
      </c>
      <c r="AF344" s="101">
        <f t="shared" si="140"/>
        <v>0</v>
      </c>
      <c r="AG344" s="101">
        <f t="shared" si="140"/>
        <v>0</v>
      </c>
      <c r="AH344" s="101">
        <f t="shared" si="140"/>
        <v>0</v>
      </c>
      <c r="AI344" s="102">
        <f t="shared" si="140"/>
        <v>0</v>
      </c>
      <c r="AJ344" s="103">
        <f t="shared" si="140"/>
        <v>15000000</v>
      </c>
      <c r="AK344" s="104">
        <f t="shared" si="140"/>
        <v>0</v>
      </c>
      <c r="AL344" s="563"/>
      <c r="AM344" s="308" t="str">
        <f t="shared" si="131"/>
        <v/>
      </c>
      <c r="AN344" s="306" t="s">
        <v>4454</v>
      </c>
      <c r="AO344" s="291" t="s">
        <v>4454</v>
      </c>
      <c r="AR344" s="106" t="e">
        <f>SUBTOTAL(9,AR325:AR343)</f>
        <v>#REF!</v>
      </c>
      <c r="AS344" s="107"/>
      <c r="AT344" s="108">
        <f>SUBTOTAL(9,AT261:AT343)</f>
        <v>371102000</v>
      </c>
      <c r="AU344" s="109"/>
      <c r="AV344" s="110" t="e">
        <f>SUBTOTAL(9,AV325:AV343)</f>
        <v>#REF!</v>
      </c>
    </row>
    <row r="345" spans="1:48" ht="25.5" customHeight="1" outlineLevel="1" thickBot="1">
      <c r="B345" s="507"/>
      <c r="C345" s="508"/>
      <c r="E345" s="509"/>
      <c r="F345" s="510"/>
      <c r="G345" s="511"/>
      <c r="H345" s="930">
        <f>AB346</f>
        <v>390355456</v>
      </c>
      <c r="I345" s="513"/>
      <c r="J345" s="514"/>
      <c r="K345" s="931"/>
      <c r="L345" s="929"/>
      <c r="M345" s="929"/>
      <c r="N345" s="518"/>
      <c r="O345" s="932"/>
      <c r="P345" s="933"/>
      <c r="Q345" s="222"/>
      <c r="R345" s="223"/>
      <c r="S345" s="93"/>
      <c r="T345" s="934"/>
      <c r="U345" s="549"/>
      <c r="V345" s="94"/>
      <c r="W345" s="95"/>
      <c r="X345" s="97"/>
      <c r="Y345" s="97"/>
      <c r="Z345" s="97"/>
      <c r="AA345" s="106"/>
      <c r="AB345" s="99"/>
      <c r="AC345" s="273"/>
      <c r="AD345" s="518"/>
      <c r="AE345" s="100"/>
      <c r="AF345" s="101"/>
      <c r="AG345" s="101"/>
      <c r="AH345" s="101"/>
      <c r="AI345" s="102"/>
      <c r="AJ345" s="103"/>
      <c r="AK345" s="104"/>
      <c r="AL345" s="563"/>
      <c r="AM345" s="308"/>
      <c r="AR345" s="106"/>
      <c r="AS345" s="107"/>
      <c r="AT345" s="108"/>
      <c r="AU345" s="109"/>
      <c r="AV345" s="110"/>
    </row>
    <row r="346" spans="1:48" ht="25.5" customHeight="1" thickBot="1">
      <c r="A346" s="291" t="s">
        <v>4454</v>
      </c>
      <c r="B346" s="507"/>
      <c r="C346" s="508"/>
      <c r="D346" s="291" t="s">
        <v>4454</v>
      </c>
      <c r="E346" s="509"/>
      <c r="F346" s="935" t="s">
        <v>4652</v>
      </c>
      <c r="G346" s="511"/>
      <c r="H346" s="936">
        <f>AA346</f>
        <v>395552000</v>
      </c>
      <c r="I346" s="513"/>
      <c r="J346" s="514"/>
      <c r="K346" s="937"/>
      <c r="L346" s="938"/>
      <c r="M346" s="938"/>
      <c r="N346" s="518"/>
      <c r="O346" s="932"/>
      <c r="P346" s="933"/>
      <c r="Q346" s="222">
        <f>SUBTOTAL(9,Q6:Q343)-Q260</f>
        <v>326277000</v>
      </c>
      <c r="R346" s="223">
        <f>SUBTOTAL(9,R6:R344)-R260</f>
        <v>255521544</v>
      </c>
      <c r="S346" s="93">
        <f>SUBTOTAL(9,S6:S344)-S260</f>
        <v>110635456</v>
      </c>
      <c r="T346" s="934">
        <f>SUBTOTAL(9,T6:T343)-T260</f>
        <v>177730000</v>
      </c>
      <c r="U346" s="525">
        <f>SUBTOTAL(9,U330:U345)</f>
        <v>57500000</v>
      </c>
      <c r="V346" s="94"/>
      <c r="W346" s="95"/>
      <c r="X346" s="97"/>
      <c r="Y346" s="97"/>
      <c r="Z346" s="97"/>
      <c r="AA346" s="939">
        <f>SUBTOTAL(9,AA6:AA344)-AA260+250000</f>
        <v>395552000</v>
      </c>
      <c r="AB346" s="176">
        <f>SUBTOTAL(9,AB6:AB344)-AB260</f>
        <v>390355456</v>
      </c>
      <c r="AC346" s="273"/>
      <c r="AD346" s="518"/>
      <c r="AE346" s="100">
        <f t="shared" ref="AE346:AK346" si="141">SUBTOTAL(9,AE6:AE343)-AE260</f>
        <v>57657000</v>
      </c>
      <c r="AF346" s="101">
        <f t="shared" si="141"/>
        <v>12500000</v>
      </c>
      <c r="AG346" s="101">
        <f t="shared" si="141"/>
        <v>1000000</v>
      </c>
      <c r="AH346" s="101">
        <f t="shared" si="141"/>
        <v>7320000</v>
      </c>
      <c r="AI346" s="101">
        <f t="shared" si="141"/>
        <v>22066456</v>
      </c>
      <c r="AJ346" s="103">
        <f t="shared" si="141"/>
        <v>300802456</v>
      </c>
      <c r="AK346" s="104">
        <f t="shared" si="141"/>
        <v>5311000</v>
      </c>
      <c r="AL346" s="563"/>
      <c r="AM346" s="308" t="str">
        <f>I346&amp;J346</f>
        <v/>
      </c>
      <c r="AN346" s="306" t="s">
        <v>4454</v>
      </c>
      <c r="AO346" s="291" t="s">
        <v>4454</v>
      </c>
      <c r="AR346" s="137" t="e">
        <f>SUBTOTAL(9,AR6:AR344)-AR260</f>
        <v>#REF!</v>
      </c>
      <c r="AS346" s="107"/>
      <c r="AT346" s="108">
        <f>SUBTOTAL(9,AT55:AT343)</f>
        <v>373760000</v>
      </c>
      <c r="AU346" s="109"/>
      <c r="AV346" s="110"/>
    </row>
    <row r="347" spans="1:48" ht="25.5" customHeight="1" thickBot="1">
      <c r="A347" s="291" t="s">
        <v>4454</v>
      </c>
      <c r="B347" s="482"/>
      <c r="C347" s="458"/>
      <c r="D347" s="291" t="s">
        <v>4454</v>
      </c>
      <c r="E347" s="940" t="s">
        <v>4454</v>
      </c>
      <c r="F347" s="428"/>
      <c r="G347" s="414"/>
      <c r="H347" s="941"/>
      <c r="I347" s="942"/>
      <c r="J347" s="943"/>
      <c r="K347" s="944"/>
      <c r="L347" s="945"/>
      <c r="M347" s="414"/>
      <c r="N347" s="415"/>
      <c r="O347" s="415"/>
      <c r="P347" s="946"/>
      <c r="Q347" s="49"/>
      <c r="R347" s="49"/>
      <c r="S347" s="49"/>
      <c r="T347" s="947"/>
      <c r="U347" s="549"/>
      <c r="V347" s="177"/>
      <c r="W347" s="948"/>
      <c r="X347" s="49"/>
      <c r="Y347" s="238"/>
      <c r="Z347" s="238"/>
      <c r="AA347" s="238"/>
      <c r="AB347" s="225"/>
      <c r="AC347" s="225"/>
      <c r="AD347" s="415"/>
      <c r="AE347" s="235"/>
      <c r="AF347" s="224"/>
      <c r="AG347" s="49"/>
      <c r="AH347" s="49">
        <f>SUBTOTAL(9,AE51:AE343)-SUM(AE57:AE71)-SUM(AE82:AE89)-SUM(AE73:AE78)-SUM(AE100:AE103)-SUM(AE109)-SUM(AE124)-SUM(AE129:AE133)-SUM(AE150:AE155)-SUM(AE157:AE160)-SUM(AE162:AE168)-SUM(AE195:AE198)-SUM(AE207:AE222)-SUM(AE228:AE257)</f>
        <v>68600000</v>
      </c>
      <c r="AI347" s="49"/>
      <c r="AJ347" s="49"/>
      <c r="AK347" s="177">
        <f>SUBTOTAL(9,AH51:AH343)-AH173-SUM(AH162:AH166)</f>
        <v>8220000</v>
      </c>
      <c r="AL347" s="949"/>
      <c r="AM347" s="308" t="str">
        <f>I347&amp;J347</f>
        <v/>
      </c>
      <c r="AN347" s="306" t="s">
        <v>4454</v>
      </c>
      <c r="AO347" s="291" t="s">
        <v>4454</v>
      </c>
      <c r="AR347" s="226" t="e">
        <f>#REF!</f>
        <v>#REF!</v>
      </c>
      <c r="AS347" s="950"/>
      <c r="AT347" s="177">
        <f>SUBTOTAL(9,Y55:Z343)</f>
        <v>0</v>
      </c>
      <c r="AU347" s="49"/>
      <c r="AV347" s="227" t="e">
        <f>SUBTOTAL(9,AJ55:AJ343)-AJ290-AJ297-#REF!-AJ298-AJ143-AJ97-AJ318-#REF!-AJ268-#REF!-#REF!-#REF!</f>
        <v>#REF!</v>
      </c>
    </row>
    <row r="348" spans="1:48" ht="25.5" customHeight="1" thickBot="1">
      <c r="A348" s="291" t="s">
        <v>4454</v>
      </c>
      <c r="B348" s="482"/>
      <c r="C348" s="458"/>
      <c r="D348" s="291" t="s">
        <v>4454</v>
      </c>
      <c r="E348" s="940" t="s">
        <v>4454</v>
      </c>
      <c r="F348" s="428"/>
      <c r="G348" s="414"/>
      <c r="H348" s="941"/>
      <c r="I348" s="942"/>
      <c r="J348" s="943"/>
      <c r="K348" s="944"/>
      <c r="L348" s="945"/>
      <c r="M348" s="414"/>
      <c r="N348" s="415"/>
      <c r="O348" s="415"/>
      <c r="P348" s="946"/>
      <c r="Q348" s="49"/>
      <c r="R348" s="54"/>
      <c r="S348" s="49"/>
      <c r="T348" s="947"/>
      <c r="U348" s="549">
        <f>SUBTOTAL(9,U6:U346)-U260</f>
        <v>575082572</v>
      </c>
      <c r="V348" s="177"/>
      <c r="W348" s="948"/>
      <c r="X348" s="49"/>
      <c r="Y348" s="49"/>
      <c r="Z348" s="49"/>
      <c r="AA348" s="238"/>
      <c r="AB348" s="225"/>
      <c r="AC348" s="225"/>
      <c r="AD348" s="415"/>
      <c r="AE348" s="235"/>
      <c r="AF348" s="224"/>
      <c r="AG348" s="49">
        <f>SUM(AG346:AG347)</f>
        <v>1000000</v>
      </c>
      <c r="AH348" s="49">
        <f>AE97</f>
        <v>5500000</v>
      </c>
      <c r="AI348" s="177"/>
      <c r="AJ348" s="49"/>
      <c r="AK348" s="49"/>
      <c r="AL348" s="951"/>
      <c r="AM348" s="308" t="str">
        <f>I348&amp;J348</f>
        <v/>
      </c>
      <c r="AN348" s="306" t="s">
        <v>4454</v>
      </c>
      <c r="AO348" s="291" t="s">
        <v>4454</v>
      </c>
      <c r="AR348" s="228" t="e">
        <f>#REF!-2700000+#REF!</f>
        <v>#REF!</v>
      </c>
      <c r="AS348" s="46"/>
      <c r="AT348" s="229" t="e">
        <f>#REF!</f>
        <v>#REF!</v>
      </c>
      <c r="AU348" s="230"/>
      <c r="AV348" s="227">
        <f>SUM(AJ297:AJ302)</f>
        <v>29200000</v>
      </c>
    </row>
    <row r="349" spans="1:48" ht="25.5" customHeight="1" thickBot="1">
      <c r="B349" s="482"/>
      <c r="C349" s="952"/>
      <c r="E349" s="940" t="s">
        <v>4454</v>
      </c>
      <c r="F349" s="428"/>
      <c r="G349" s="414"/>
      <c r="H349" s="231"/>
      <c r="I349" s="942"/>
      <c r="J349" s="943"/>
      <c r="K349" s="953"/>
      <c r="L349" s="954" t="s">
        <v>5701</v>
      </c>
      <c r="M349" s="414"/>
      <c r="N349" s="955"/>
      <c r="O349" s="500"/>
      <c r="P349" s="956"/>
      <c r="Q349" s="957" t="s">
        <v>5702</v>
      </c>
      <c r="R349" s="958">
        <f>H345-H346</f>
        <v>-5196544</v>
      </c>
      <c r="S349" s="49"/>
      <c r="T349" s="49"/>
      <c r="U349" s="959"/>
      <c r="V349" s="233"/>
      <c r="W349" s="236"/>
      <c r="X349" s="237"/>
      <c r="Y349" s="237"/>
      <c r="Z349" s="233"/>
      <c r="AA349" s="238"/>
      <c r="AB349" s="234"/>
      <c r="AC349" s="234"/>
      <c r="AD349" s="500"/>
      <c r="AE349" s="235"/>
      <c r="AF349" s="49"/>
      <c r="AG349" s="1106">
        <f>SUM(AB346)</f>
        <v>390355456</v>
      </c>
      <c r="AH349" s="1106"/>
      <c r="AI349" s="1107"/>
      <c r="AJ349" s="1107"/>
      <c r="AK349" s="233"/>
      <c r="AL349" s="960"/>
      <c r="AR349" s="86"/>
      <c r="AS349" s="232"/>
      <c r="AT349" s="232"/>
      <c r="AU349" s="49"/>
      <c r="AV349" s="233"/>
    </row>
    <row r="350" spans="1:48" ht="25.5" customHeight="1">
      <c r="H350" s="239"/>
      <c r="K350" s="961"/>
      <c r="L350" s="240"/>
      <c r="M350" s="240"/>
      <c r="N350" s="240"/>
      <c r="O350" s="240"/>
      <c r="P350" s="962"/>
      <c r="U350" s="963"/>
      <c r="V350" s="17"/>
      <c r="W350" s="241">
        <f>U32+U51+U73+U80+U91+U97+U105+U111+U119+U126+U135+U158+U163+U171+U202+U226+U262</f>
        <v>30890000</v>
      </c>
      <c r="X350" s="17"/>
      <c r="Y350" s="17"/>
      <c r="Z350" s="17"/>
      <c r="AA350" s="242"/>
      <c r="AD350" s="240"/>
      <c r="AL350" s="964"/>
      <c r="AR350" s="243"/>
      <c r="AS350" s="244"/>
      <c r="AT350" s="244"/>
    </row>
    <row r="351" spans="1:48" s="304" customFormat="1" ht="25.5" customHeight="1">
      <c r="A351" s="965"/>
      <c r="B351" s="966"/>
      <c r="C351" s="293"/>
      <c r="D351" s="965"/>
      <c r="E351" s="967"/>
      <c r="F351" s="297"/>
      <c r="G351" s="296"/>
      <c r="H351" s="968"/>
      <c r="I351" s="969"/>
      <c r="J351" s="970"/>
      <c r="K351" s="971"/>
      <c r="L351" s="240"/>
      <c r="M351" s="240"/>
      <c r="N351" s="240"/>
      <c r="O351" s="240"/>
      <c r="P351" s="962"/>
      <c r="Q351" s="1"/>
      <c r="R351" s="1"/>
      <c r="S351" s="2"/>
      <c r="T351" s="6"/>
      <c r="U351" s="972"/>
      <c r="V351" s="17"/>
      <c r="W351" s="245"/>
      <c r="X351" s="17"/>
      <c r="Y351" s="17"/>
      <c r="Z351" s="17"/>
      <c r="AA351" s="242"/>
      <c r="AB351" s="8"/>
      <c r="AC351" s="8"/>
      <c r="AD351" s="240"/>
      <c r="AE351" s="9"/>
      <c r="AF351" s="5"/>
      <c r="AG351" s="3"/>
      <c r="AH351" s="3"/>
      <c r="AI351" s="3"/>
      <c r="AJ351" s="3"/>
      <c r="AK351" s="3"/>
      <c r="AN351" s="973"/>
      <c r="AO351" s="965"/>
      <c r="AP351" s="965"/>
      <c r="AR351" s="240"/>
      <c r="AS351" s="244"/>
      <c r="AT351" s="244"/>
      <c r="AU351" s="2"/>
      <c r="AV351" s="3"/>
    </row>
    <row r="352" spans="1:48" s="304" customFormat="1" ht="25.5" customHeight="1">
      <c r="A352" s="965"/>
      <c r="B352" s="966"/>
      <c r="C352" s="293"/>
      <c r="D352" s="965"/>
      <c r="E352" s="967"/>
      <c r="F352" s="297"/>
      <c r="G352" s="296"/>
      <c r="H352" s="16"/>
      <c r="I352" s="969"/>
      <c r="J352" s="970"/>
      <c r="K352" s="974"/>
      <c r="L352" s="240"/>
      <c r="M352" s="240"/>
      <c r="N352" s="240"/>
      <c r="O352" s="240"/>
      <c r="P352" s="962"/>
      <c r="Q352" s="1"/>
      <c r="R352" s="1"/>
      <c r="S352" s="2"/>
      <c r="T352" s="6"/>
      <c r="U352" s="10"/>
      <c r="V352" s="17"/>
      <c r="W352" s="245"/>
      <c r="X352" s="17"/>
      <c r="Y352" s="17"/>
      <c r="Z352" s="17"/>
      <c r="AA352" s="242"/>
      <c r="AB352" s="8"/>
      <c r="AC352" s="8"/>
      <c r="AD352" s="240"/>
      <c r="AE352" s="9"/>
      <c r="AF352" s="5"/>
      <c r="AG352" s="3"/>
      <c r="AH352" s="3"/>
      <c r="AI352" s="3"/>
      <c r="AJ352" s="3"/>
      <c r="AK352" s="3"/>
      <c r="AN352" s="973"/>
      <c r="AO352" s="965"/>
      <c r="AP352" s="965"/>
      <c r="AR352" s="240"/>
      <c r="AS352" s="244"/>
      <c r="AT352" s="244"/>
      <c r="AU352" s="2"/>
      <c r="AV352" s="3"/>
    </row>
    <row r="353" spans="1:48" s="304" customFormat="1" ht="25.5" customHeight="1">
      <c r="A353" s="965"/>
      <c r="B353" s="966"/>
      <c r="C353" s="293"/>
      <c r="D353" s="965"/>
      <c r="E353" s="967"/>
      <c r="F353" s="297"/>
      <c r="G353" s="296"/>
      <c r="H353" s="975">
        <v>0</v>
      </c>
      <c r="I353" s="969"/>
      <c r="J353" s="970"/>
      <c r="K353" s="976"/>
      <c r="L353" s="246"/>
      <c r="M353" s="246"/>
      <c r="N353" s="246"/>
      <c r="O353" s="246"/>
      <c r="P353" s="977"/>
      <c r="Q353" s="1"/>
      <c r="R353" s="1"/>
      <c r="S353" s="2"/>
      <c r="T353" s="6"/>
      <c r="U353" s="3"/>
      <c r="V353" s="3"/>
      <c r="W353" s="247"/>
      <c r="X353" s="3"/>
      <c r="Y353" s="3"/>
      <c r="Z353" s="3"/>
      <c r="AA353" s="242"/>
      <c r="AB353" s="8"/>
      <c r="AC353" s="8"/>
      <c r="AD353" s="246"/>
      <c r="AE353" s="9"/>
      <c r="AF353" s="5"/>
      <c r="AG353" s="3"/>
      <c r="AH353" s="3"/>
      <c r="AI353" s="3"/>
      <c r="AJ353" s="3"/>
      <c r="AK353" s="3"/>
      <c r="AN353" s="973"/>
      <c r="AO353" s="965"/>
      <c r="AP353" s="965"/>
      <c r="AR353" s="246"/>
      <c r="AS353" s="1"/>
      <c r="AT353" s="1"/>
      <c r="AU353" s="2"/>
      <c r="AV353" s="3"/>
    </row>
    <row r="354" spans="1:48" s="304" customFormat="1" ht="25.5" customHeight="1">
      <c r="A354" s="965"/>
      <c r="B354" s="966"/>
      <c r="C354" s="293"/>
      <c r="D354" s="965"/>
      <c r="E354" s="967"/>
      <c r="F354" s="297"/>
      <c r="G354" s="296"/>
      <c r="H354" s="975"/>
      <c r="I354" s="969"/>
      <c r="J354" s="970"/>
      <c r="K354" s="976"/>
      <c r="L354" s="246"/>
      <c r="M354" s="246"/>
      <c r="N354" s="246"/>
      <c r="O354" s="246"/>
      <c r="P354" s="977"/>
      <c r="Q354" s="1"/>
      <c r="R354" s="1"/>
      <c r="S354" s="2"/>
      <c r="T354" s="6"/>
      <c r="U354" s="3"/>
      <c r="V354" s="3"/>
      <c r="W354" s="247"/>
      <c r="X354" s="3"/>
      <c r="Y354" s="3"/>
      <c r="Z354" s="3"/>
      <c r="AA354" s="242"/>
      <c r="AB354" s="8"/>
      <c r="AC354" s="8"/>
      <c r="AD354" s="246"/>
      <c r="AE354" s="9"/>
      <c r="AF354" s="5"/>
      <c r="AG354" s="3"/>
      <c r="AH354" s="3"/>
      <c r="AI354" s="3"/>
      <c r="AJ354" s="3"/>
      <c r="AK354" s="3"/>
      <c r="AN354" s="973"/>
      <c r="AO354" s="965"/>
      <c r="AP354" s="965"/>
      <c r="AR354" s="246"/>
      <c r="AS354" s="1"/>
      <c r="AT354" s="1"/>
      <c r="AU354" s="2"/>
      <c r="AV354" s="3"/>
    </row>
    <row r="355" spans="1:48" s="304" customFormat="1" ht="25.5" customHeight="1">
      <c r="A355" s="965"/>
      <c r="B355" s="966"/>
      <c r="C355" s="293"/>
      <c r="D355" s="965"/>
      <c r="E355" s="967"/>
      <c r="F355" s="297"/>
      <c r="G355" s="296"/>
      <c r="H355" s="975"/>
      <c r="I355" s="969"/>
      <c r="J355" s="970"/>
      <c r="K355" s="976"/>
      <c r="L355" s="246"/>
      <c r="M355" s="246"/>
      <c r="N355" s="246"/>
      <c r="O355" s="246"/>
      <c r="P355" s="977"/>
      <c r="Q355" s="1"/>
      <c r="R355" s="1"/>
      <c r="S355" s="2"/>
      <c r="T355" s="6"/>
      <c r="U355" s="3"/>
      <c r="V355" s="3"/>
      <c r="W355" s="247"/>
      <c r="X355" s="3"/>
      <c r="Y355" s="3"/>
      <c r="Z355" s="3"/>
      <c r="AA355" s="242"/>
      <c r="AB355" s="8"/>
      <c r="AC355" s="8"/>
      <c r="AD355" s="246"/>
      <c r="AE355" s="9"/>
      <c r="AF355" s="5"/>
      <c r="AG355" s="3"/>
      <c r="AH355" s="3"/>
      <c r="AI355" s="3"/>
      <c r="AJ355" s="3"/>
      <c r="AK355" s="3"/>
      <c r="AN355" s="973"/>
      <c r="AO355" s="965"/>
      <c r="AP355" s="965"/>
      <c r="AR355" s="246"/>
      <c r="AS355" s="1"/>
      <c r="AT355" s="1"/>
      <c r="AU355" s="2"/>
      <c r="AV355" s="3"/>
    </row>
    <row r="356" spans="1:48" s="304" customFormat="1" ht="25.5" customHeight="1">
      <c r="A356" s="965"/>
      <c r="B356" s="966"/>
      <c r="C356" s="293"/>
      <c r="D356" s="965"/>
      <c r="E356" s="967"/>
      <c r="F356" s="297"/>
      <c r="G356" s="296"/>
      <c r="H356" s="975"/>
      <c r="I356" s="969"/>
      <c r="J356" s="970"/>
      <c r="K356" s="976"/>
      <c r="L356" s="246"/>
      <c r="M356" s="246"/>
      <c r="N356" s="246"/>
      <c r="O356" s="246"/>
      <c r="P356" s="977"/>
      <c r="Q356" s="1"/>
      <c r="R356" s="1"/>
      <c r="S356" s="2"/>
      <c r="T356" s="6"/>
      <c r="U356" s="3"/>
      <c r="V356" s="3"/>
      <c r="W356" s="247"/>
      <c r="X356" s="3"/>
      <c r="Y356" s="3"/>
      <c r="Z356" s="3"/>
      <c r="AA356" s="242"/>
      <c r="AB356" s="8"/>
      <c r="AC356" s="8"/>
      <c r="AD356" s="246"/>
      <c r="AE356" s="9"/>
      <c r="AF356" s="5"/>
      <c r="AG356" s="3"/>
      <c r="AH356" s="3"/>
      <c r="AI356" s="3"/>
      <c r="AJ356" s="3"/>
      <c r="AK356" s="3"/>
      <c r="AN356" s="973"/>
      <c r="AO356" s="965"/>
      <c r="AP356" s="965"/>
      <c r="AR356" s="246"/>
      <c r="AS356" s="1"/>
      <c r="AT356" s="1"/>
      <c r="AU356" s="2"/>
      <c r="AV356" s="3"/>
    </row>
    <row r="357" spans="1:48" s="304" customFormat="1" ht="25.5" customHeight="1">
      <c r="A357" s="965"/>
      <c r="B357" s="966"/>
      <c r="C357" s="293"/>
      <c r="D357" s="965"/>
      <c r="E357" s="967"/>
      <c r="F357" s="297"/>
      <c r="G357" s="296"/>
      <c r="H357" s="975"/>
      <c r="I357" s="969"/>
      <c r="J357" s="970"/>
      <c r="K357" s="976"/>
      <c r="L357" s="246"/>
      <c r="M357" s="246"/>
      <c r="N357" s="246"/>
      <c r="O357" s="246"/>
      <c r="P357" s="977"/>
      <c r="Q357" s="1"/>
      <c r="R357" s="1"/>
      <c r="S357" s="2"/>
      <c r="T357" s="6"/>
      <c r="U357" s="3"/>
      <c r="V357" s="3"/>
      <c r="W357" s="247"/>
      <c r="X357" s="3"/>
      <c r="Y357" s="3"/>
      <c r="Z357" s="3"/>
      <c r="AA357" s="242"/>
      <c r="AB357" s="8"/>
      <c r="AC357" s="8"/>
      <c r="AD357" s="246"/>
      <c r="AE357" s="9"/>
      <c r="AF357" s="5"/>
      <c r="AG357" s="3"/>
      <c r="AH357" s="3"/>
      <c r="AI357" s="3"/>
      <c r="AJ357" s="3"/>
      <c r="AK357" s="3"/>
      <c r="AN357" s="973"/>
      <c r="AO357" s="965"/>
      <c r="AP357" s="965"/>
      <c r="AR357" s="246"/>
      <c r="AS357" s="1"/>
      <c r="AT357" s="1"/>
      <c r="AU357" s="2"/>
      <c r="AV357" s="3"/>
    </row>
    <row r="358" spans="1:48" s="304" customFormat="1" ht="25.5" customHeight="1">
      <c r="A358" s="965"/>
      <c r="B358" s="966"/>
      <c r="C358" s="293"/>
      <c r="D358" s="965"/>
      <c r="E358" s="967" t="s">
        <v>4454</v>
      </c>
      <c r="F358" s="297"/>
      <c r="G358" s="296"/>
      <c r="H358" s="969"/>
      <c r="I358" s="969"/>
      <c r="J358" s="970"/>
      <c r="K358" s="978"/>
      <c r="L358" s="302"/>
      <c r="M358" s="302"/>
      <c r="N358" s="302"/>
      <c r="O358" s="302"/>
      <c r="P358" s="303"/>
      <c r="Q358" s="1"/>
      <c r="R358" s="1"/>
      <c r="S358" s="2"/>
      <c r="T358" s="6"/>
      <c r="U358" s="3"/>
      <c r="V358" s="3"/>
      <c r="W358" s="247"/>
      <c r="X358" s="3"/>
      <c r="Y358" s="3"/>
      <c r="Z358" s="3"/>
      <c r="AA358" s="242"/>
      <c r="AB358" s="8"/>
      <c r="AC358" s="8"/>
      <c r="AD358" s="302"/>
      <c r="AE358" s="9"/>
      <c r="AF358" s="5"/>
      <c r="AG358" s="3"/>
      <c r="AH358" s="3"/>
      <c r="AI358" s="3"/>
      <c r="AJ358" s="3"/>
      <c r="AK358" s="3"/>
      <c r="AN358" s="973"/>
      <c r="AO358" s="965"/>
      <c r="AP358" s="965"/>
      <c r="AR358" s="302"/>
      <c r="AS358" s="1"/>
      <c r="AT358" s="1"/>
      <c r="AU358" s="2"/>
      <c r="AV358" s="3"/>
    </row>
    <row r="359" spans="1:48" s="304" customFormat="1" ht="25.5" customHeight="1">
      <c r="A359" s="965"/>
      <c r="B359" s="966"/>
      <c r="C359" s="293"/>
      <c r="D359" s="965"/>
      <c r="E359" s="967" t="s">
        <v>4454</v>
      </c>
      <c r="F359" s="297"/>
      <c r="G359" s="296"/>
      <c r="H359" s="969"/>
      <c r="I359" s="969"/>
      <c r="J359" s="970"/>
      <c r="K359" s="978"/>
      <c r="L359" s="302"/>
      <c r="M359" s="302"/>
      <c r="N359" s="302"/>
      <c r="O359" s="302"/>
      <c r="P359" s="303"/>
      <c r="Q359" s="1"/>
      <c r="R359" s="1"/>
      <c r="S359" s="2"/>
      <c r="T359" s="6"/>
      <c r="U359" s="3"/>
      <c r="V359" s="3"/>
      <c r="W359" s="247"/>
      <c r="X359" s="3"/>
      <c r="Y359" s="3"/>
      <c r="Z359" s="3"/>
      <c r="AA359" s="242"/>
      <c r="AB359" s="8"/>
      <c r="AC359" s="8"/>
      <c r="AD359" s="302"/>
      <c r="AE359" s="9"/>
      <c r="AF359" s="5"/>
      <c r="AG359" s="3"/>
      <c r="AH359" s="3"/>
      <c r="AI359" s="3"/>
      <c r="AJ359" s="3"/>
      <c r="AK359" s="3"/>
      <c r="AN359" s="973"/>
      <c r="AO359" s="965"/>
      <c r="AP359" s="965"/>
      <c r="AR359" s="302"/>
      <c r="AS359" s="1"/>
      <c r="AT359" s="1"/>
      <c r="AU359" s="2"/>
      <c r="AV359" s="3"/>
    </row>
    <row r="360" spans="1:48" s="304" customFormat="1" ht="25.5" customHeight="1">
      <c r="A360" s="965"/>
      <c r="B360" s="966"/>
      <c r="C360" s="293"/>
      <c r="D360" s="965"/>
      <c r="E360" s="967" t="s">
        <v>4454</v>
      </c>
      <c r="F360" s="297"/>
      <c r="G360" s="296"/>
      <c r="H360" s="969"/>
      <c r="I360" s="969"/>
      <c r="J360" s="970"/>
      <c r="K360" s="978"/>
      <c r="L360" s="302"/>
      <c r="M360" s="302"/>
      <c r="N360" s="302"/>
      <c r="O360" s="302"/>
      <c r="P360" s="303"/>
      <c r="Q360" s="1"/>
      <c r="R360" s="1"/>
      <c r="S360" s="2"/>
      <c r="T360" s="6"/>
      <c r="U360" s="3"/>
      <c r="V360" s="3"/>
      <c r="W360" s="247"/>
      <c r="X360" s="3"/>
      <c r="Y360" s="3"/>
      <c r="Z360" s="3"/>
      <c r="AA360" s="242"/>
      <c r="AB360" s="8"/>
      <c r="AC360" s="8"/>
      <c r="AD360" s="302"/>
      <c r="AE360" s="9"/>
      <c r="AF360" s="5"/>
      <c r="AG360" s="3"/>
      <c r="AH360" s="3"/>
      <c r="AI360" s="3"/>
      <c r="AJ360" s="3"/>
      <c r="AK360" s="3"/>
      <c r="AN360" s="973"/>
      <c r="AO360" s="965"/>
      <c r="AP360" s="965"/>
      <c r="AR360" s="302"/>
      <c r="AS360" s="1"/>
      <c r="AT360" s="1"/>
      <c r="AU360" s="2"/>
      <c r="AV360" s="3"/>
    </row>
    <row r="361" spans="1:48" s="304" customFormat="1" ht="25.5" customHeight="1">
      <c r="A361" s="965"/>
      <c r="B361" s="966"/>
      <c r="C361" s="293"/>
      <c r="D361" s="965"/>
      <c r="E361" s="967" t="s">
        <v>4454</v>
      </c>
      <c r="F361" s="297"/>
      <c r="G361" s="296"/>
      <c r="H361" s="297"/>
      <c r="I361" s="969"/>
      <c r="J361" s="970"/>
      <c r="K361" s="300"/>
      <c r="L361" s="302"/>
      <c r="M361" s="302"/>
      <c r="N361" s="302"/>
      <c r="O361" s="302"/>
      <c r="P361" s="303"/>
      <c r="Q361" s="1"/>
      <c r="R361" s="1"/>
      <c r="S361" s="2"/>
      <c r="T361" s="6"/>
      <c r="U361" s="3"/>
      <c r="V361" s="3"/>
      <c r="W361" s="247"/>
      <c r="X361" s="3"/>
      <c r="Y361" s="3"/>
      <c r="Z361" s="3"/>
      <c r="AA361" s="242"/>
      <c r="AB361" s="8"/>
      <c r="AC361" s="8"/>
      <c r="AD361" s="302"/>
      <c r="AE361" s="9"/>
      <c r="AF361" s="5"/>
      <c r="AG361" s="3"/>
      <c r="AH361" s="3"/>
      <c r="AI361" s="3"/>
      <c r="AJ361" s="3"/>
      <c r="AK361" s="3"/>
      <c r="AN361" s="973"/>
      <c r="AO361" s="965"/>
      <c r="AP361" s="965"/>
      <c r="AR361" s="302"/>
      <c r="AS361" s="1"/>
      <c r="AT361" s="1"/>
      <c r="AU361" s="2"/>
      <c r="AV361" s="3"/>
    </row>
    <row r="362" spans="1:48" ht="25.5" customHeight="1">
      <c r="E362" s="294" t="s">
        <v>4454</v>
      </c>
      <c r="U362" s="3"/>
    </row>
    <row r="363" spans="1:48" ht="25.5" customHeight="1">
      <c r="E363" s="294" t="s">
        <v>4454</v>
      </c>
      <c r="U363" s="3"/>
    </row>
    <row r="364" spans="1:48" ht="25.5" customHeight="1">
      <c r="E364" s="294" t="s">
        <v>4454</v>
      </c>
    </row>
    <row r="365" spans="1:48" ht="25.5" customHeight="1">
      <c r="E365" s="294" t="s">
        <v>4454</v>
      </c>
    </row>
    <row r="366" spans="1:48" ht="25.5" customHeight="1">
      <c r="E366" s="294" t="s">
        <v>4454</v>
      </c>
    </row>
  </sheetData>
  <sheetProtection algorithmName="SHA-512" hashValue="NMObOmua4OhlT4mruZi+XVAf5nFRMOUC8R7aoNAwUqiZeaM1EO177fgoieYv6M8/rq0S3JZNA4iWqcIwOkA39A==" saltValue="AYfeSyuyWTpmW28fVIJrlg==" spinCount="100000" sheet="1" objects="1" scenarios="1"/>
  <mergeCells count="5">
    <mergeCell ref="R2:S2"/>
    <mergeCell ref="I5:J5"/>
    <mergeCell ref="L5:N5"/>
    <mergeCell ref="AG349:AH349"/>
    <mergeCell ref="AI349:AJ349"/>
  </mergeCells>
  <phoneticPr fontId="3"/>
  <conditionalFormatting sqref="T17:T31 T51:T53 T33:T49">
    <cfRule type="expression" dxfId="52" priority="53">
      <formula>Q17&lt;T17</formula>
    </cfRule>
  </conditionalFormatting>
  <conditionalFormatting sqref="T55:T71">
    <cfRule type="expression" dxfId="51" priority="52">
      <formula>Q55&lt;T55</formula>
    </cfRule>
  </conditionalFormatting>
  <conditionalFormatting sqref="T73:T78">
    <cfRule type="expression" dxfId="50" priority="51">
      <formula>Q73&lt;T73</formula>
    </cfRule>
  </conditionalFormatting>
  <conditionalFormatting sqref="T80:T89">
    <cfRule type="expression" dxfId="49" priority="50">
      <formula>Q80&lt;T80</formula>
    </cfRule>
  </conditionalFormatting>
  <conditionalFormatting sqref="T91:T95">
    <cfRule type="expression" dxfId="48" priority="49">
      <formula>Q91&lt;T91</formula>
    </cfRule>
  </conditionalFormatting>
  <conditionalFormatting sqref="T97:T103">
    <cfRule type="expression" dxfId="47" priority="48">
      <formula>Q97&lt;T97</formula>
    </cfRule>
  </conditionalFormatting>
  <conditionalFormatting sqref="T111:T117">
    <cfRule type="expression" dxfId="46" priority="47">
      <formula>Q111&lt;T111</formula>
    </cfRule>
  </conditionalFormatting>
  <conditionalFormatting sqref="T119:T124">
    <cfRule type="expression" dxfId="45" priority="46">
      <formula>Q119&lt;T119</formula>
    </cfRule>
  </conditionalFormatting>
  <conditionalFormatting sqref="T126:T133">
    <cfRule type="expression" dxfId="44" priority="45">
      <formula>Q126&lt;T126</formula>
    </cfRule>
  </conditionalFormatting>
  <conditionalFormatting sqref="T135:T155">
    <cfRule type="expression" dxfId="43" priority="44">
      <formula>Q135&lt;T135</formula>
    </cfRule>
  </conditionalFormatting>
  <conditionalFormatting sqref="T162:T168">
    <cfRule type="expression" dxfId="42" priority="43">
      <formula>Q162&lt;T162</formula>
    </cfRule>
  </conditionalFormatting>
  <conditionalFormatting sqref="T157:T160">
    <cfRule type="expression" dxfId="41" priority="42">
      <formula>Q157&lt;T157</formula>
    </cfRule>
  </conditionalFormatting>
  <conditionalFormatting sqref="T170:T175">
    <cfRule type="expression" dxfId="40" priority="41">
      <formula>Q170&lt;T170</formula>
    </cfRule>
  </conditionalFormatting>
  <conditionalFormatting sqref="T177:T192">
    <cfRule type="expression" dxfId="39" priority="40">
      <formula>Q177&lt;T177</formula>
    </cfRule>
  </conditionalFormatting>
  <conditionalFormatting sqref="T194:T198">
    <cfRule type="expression" dxfId="38" priority="39">
      <formula>Q194&lt;T194</formula>
    </cfRule>
  </conditionalFormatting>
  <conditionalFormatting sqref="T200:T201">
    <cfRule type="expression" dxfId="37" priority="38">
      <formula>Q200&lt;T200</formula>
    </cfRule>
  </conditionalFormatting>
  <conditionalFormatting sqref="T203:T222">
    <cfRule type="expression" dxfId="36" priority="37">
      <formula>Q203&lt;T203</formula>
    </cfRule>
  </conditionalFormatting>
  <conditionalFormatting sqref="T224:T230">
    <cfRule type="expression" dxfId="35" priority="36">
      <formula>Q224&lt;T224</formula>
    </cfRule>
  </conditionalFormatting>
  <conditionalFormatting sqref="T232:T257">
    <cfRule type="expression" dxfId="34" priority="35">
      <formula>Q232&lt;T232</formula>
    </cfRule>
  </conditionalFormatting>
  <conditionalFormatting sqref="U17 U51:U53 U33:U49 U261:U323">
    <cfRule type="expression" dxfId="33" priority="34">
      <formula>Q17&lt;U17</formula>
    </cfRule>
  </conditionalFormatting>
  <conditionalFormatting sqref="U325:U343">
    <cfRule type="expression" dxfId="32" priority="16">
      <formula>Q325&lt;U325</formula>
    </cfRule>
  </conditionalFormatting>
  <conditionalFormatting sqref="U18:U31">
    <cfRule type="expression" dxfId="31" priority="33">
      <formula>Q18&lt;U18</formula>
    </cfRule>
  </conditionalFormatting>
  <conditionalFormatting sqref="U55:U71">
    <cfRule type="expression" dxfId="30" priority="32">
      <formula>Q55&lt;U55</formula>
    </cfRule>
  </conditionalFormatting>
  <conditionalFormatting sqref="U73:U78">
    <cfRule type="expression" dxfId="29" priority="31">
      <formula>Q73&lt;U73</formula>
    </cfRule>
  </conditionalFormatting>
  <conditionalFormatting sqref="U80:U89">
    <cfRule type="expression" dxfId="28" priority="30">
      <formula>Q80&lt;U80</formula>
    </cfRule>
  </conditionalFormatting>
  <conditionalFormatting sqref="U91:U95">
    <cfRule type="expression" dxfId="27" priority="29">
      <formula>Q91&lt;U91</formula>
    </cfRule>
  </conditionalFormatting>
  <conditionalFormatting sqref="U97:U103">
    <cfRule type="expression" dxfId="26" priority="28">
      <formula>Q97&lt;U97</formula>
    </cfRule>
  </conditionalFormatting>
  <conditionalFormatting sqref="U119:U124 U111:U117">
    <cfRule type="expression" dxfId="25" priority="27">
      <formula>Q111&lt;U111</formula>
    </cfRule>
  </conditionalFormatting>
  <conditionalFormatting sqref="U135:U155 U126:U133">
    <cfRule type="expression" dxfId="24" priority="26">
      <formula>Q126&lt;U126</formula>
    </cfRule>
  </conditionalFormatting>
  <conditionalFormatting sqref="U157:U160">
    <cfRule type="expression" dxfId="23" priority="25">
      <formula>Q157&lt;U157</formula>
    </cfRule>
  </conditionalFormatting>
  <conditionalFormatting sqref="U162:U168">
    <cfRule type="expression" dxfId="22" priority="24">
      <formula>Q162&lt;U162</formula>
    </cfRule>
  </conditionalFormatting>
  <conditionalFormatting sqref="U170:U175">
    <cfRule type="expression" dxfId="21" priority="23">
      <formula>Q170&lt;U170</formula>
    </cfRule>
  </conditionalFormatting>
  <conditionalFormatting sqref="U177:U192">
    <cfRule type="expression" dxfId="20" priority="22">
      <formula>Q177&lt;U177</formula>
    </cfRule>
  </conditionalFormatting>
  <conditionalFormatting sqref="U194:U198">
    <cfRule type="expression" dxfId="19" priority="21">
      <formula>Q194&lt;U194</formula>
    </cfRule>
  </conditionalFormatting>
  <conditionalFormatting sqref="U200:U201">
    <cfRule type="expression" dxfId="18" priority="20">
      <formula>Q200&lt;U200</formula>
    </cfRule>
  </conditionalFormatting>
  <conditionalFormatting sqref="U203:U222">
    <cfRule type="expression" dxfId="17" priority="19">
      <formula>Q203&lt;U203</formula>
    </cfRule>
  </conditionalFormatting>
  <conditionalFormatting sqref="U224:U230">
    <cfRule type="expression" dxfId="16" priority="18">
      <formula>Q224&lt;U224</formula>
    </cfRule>
  </conditionalFormatting>
  <conditionalFormatting sqref="U232:U257">
    <cfRule type="expression" dxfId="15" priority="17">
      <formula>Q232&lt;U232</formula>
    </cfRule>
  </conditionalFormatting>
  <conditionalFormatting sqref="M9:M31">
    <cfRule type="expression" dxfId="14" priority="15">
      <formula>AND(L9&lt;&gt;"",N9&lt;&gt;"")</formula>
    </cfRule>
  </conditionalFormatting>
  <conditionalFormatting sqref="M48">
    <cfRule type="expression" dxfId="13" priority="14">
      <formula>AND(L48&lt;&gt;"",N48&lt;&gt;"")</formula>
    </cfRule>
  </conditionalFormatting>
  <conditionalFormatting sqref="M55:M71 M51:M53">
    <cfRule type="expression" dxfId="12" priority="13">
      <formula>AND(L51&lt;&gt;"",N51&lt;&gt;"")</formula>
    </cfRule>
  </conditionalFormatting>
  <conditionalFormatting sqref="M80:M89 M73:M78">
    <cfRule type="expression" dxfId="11" priority="12">
      <formula>AND(L73&lt;&gt;"",N73&lt;&gt;"")</formula>
    </cfRule>
  </conditionalFormatting>
  <conditionalFormatting sqref="M97:M103 M91:M95">
    <cfRule type="expression" dxfId="10" priority="11">
      <formula>AND(L91&lt;&gt;"",N91&lt;&gt;"")</formula>
    </cfRule>
  </conditionalFormatting>
  <conditionalFormatting sqref="M119:M124 M111:M117 M105:M109">
    <cfRule type="expression" dxfId="9" priority="10">
      <formula>AND(L105&lt;&gt;"",N105&lt;&gt;"")</formula>
    </cfRule>
  </conditionalFormatting>
  <conditionalFormatting sqref="M135 M126:M133 M142:M147 M150 M153:M155">
    <cfRule type="expression" dxfId="8" priority="9">
      <formula>AND(L126&lt;&gt;"",N126&lt;&gt;"")</formula>
    </cfRule>
  </conditionalFormatting>
  <conditionalFormatting sqref="M203:M222 M200:M201 M194:M198 M177:M192 M170:M175 M162:M168 M157:M160">
    <cfRule type="expression" dxfId="7" priority="8">
      <formula>AND(L157&lt;&gt;"",N157&lt;&gt;"")</formula>
    </cfRule>
  </conditionalFormatting>
  <conditionalFormatting sqref="M224:M230">
    <cfRule type="expression" dxfId="6" priority="7">
      <formula>AND(L224&lt;&gt;"",N224&lt;&gt;"")</formula>
    </cfRule>
  </conditionalFormatting>
  <conditionalFormatting sqref="M33:M47">
    <cfRule type="expression" dxfId="5" priority="6">
      <formula>AND(L33&lt;&gt;"",N33&lt;&gt;"")</formula>
    </cfRule>
  </conditionalFormatting>
  <conditionalFormatting sqref="M49">
    <cfRule type="expression" dxfId="4" priority="5">
      <formula>AND(L49&lt;&gt;"",N49&lt;&gt;"")</formula>
    </cfRule>
  </conditionalFormatting>
  <conditionalFormatting sqref="M136:M141">
    <cfRule type="expression" dxfId="3" priority="4">
      <formula>AND(L136&lt;&gt;"",N136&lt;&gt;"")</formula>
    </cfRule>
  </conditionalFormatting>
  <conditionalFormatting sqref="M148">
    <cfRule type="expression" dxfId="2" priority="3">
      <formula>AND(L148&lt;&gt;"",N148&lt;&gt;"")</formula>
    </cfRule>
  </conditionalFormatting>
  <conditionalFormatting sqref="M149">
    <cfRule type="expression" dxfId="1" priority="2">
      <formula>AND(L149&lt;&gt;"",N149&lt;&gt;"")</formula>
    </cfRule>
  </conditionalFormatting>
  <conditionalFormatting sqref="M151:M152">
    <cfRule type="expression" dxfId="0" priority="1">
      <formula>AND(L151&lt;&gt;"",N151&lt;&gt;"")</formula>
    </cfRule>
  </conditionalFormatting>
  <dataValidations count="3">
    <dataValidation imeMode="hiragana" allowBlank="1" showInputMessage="1" showErrorMessage="1" sqref="M362:M65572 M325:M343 M33:M49 M97:M103 M91:M95 M80:M89 M55:M71 G303:G304 G274 H305:K307 H73:K78 H105:K109 H91:K95 H97:K103 H157:K160 H325:K343 M194:M198 M119:M124 M73:M78 M157:M160 M200:M201 H203:K222 M162:M168 G308:G312 H111:K117 M105:M109 H119:K124 M111:M117 H126:K133 H200:K201 H313:K323 H162:K168 M51:M53 H55:K71 M177:M192 H194:K198 H170:K175 H80:K89 M126:M133 M224:M230 H135:K155 M170:M175 H177:K192 H224:K230 H232:K257 M203:M222 G284:K284 G285 M232:M257 H51:K53 H347:K65572 M347:M349 M135:M155 M6:M31 H33:K49 H275:K302 H5:K31 M261:M323 H261:K273" xr:uid="{32DAC21C-272F-46F7-B581-F17DCEE7DD75}"/>
    <dataValidation type="list" allowBlank="1" showInputMessage="1" showErrorMessage="1" sqref="F157:F160 F91:F95 F97:F103 F105:F109 F73:F78 F203:F222 F126:F133 F200:F201 F80:F89 F194:F198 F111:F117 F119:F124 F162:F168 F55:F71 F170:F175 F232:F257 F135:F155 F177:F192 F224:F230 F51:F53 F347:F366 F6:F31 F33:F49 F261:F323 F325:F343" xr:uid="{EB1977CD-7675-44FC-8185-26488182B390}">
      <formula1>連盟委員会</formula1>
    </dataValidation>
    <dataValidation imeMode="halfAlpha" allowBlank="1" showInputMessage="1" showErrorMessage="1" sqref="AA362:AA65572 AE319:AF320 I325:L343 B168 B160 I157:L160 R158:R159 AK162:AK166 AU152:AV152 B257 B121 B198 B222 AA318:AA323 AI131:AK132 AI87:AK88 AV87:AV89 AU128 AT127 R131:R132 R87:R88 Q114:R115 AU89 B128 I105:L109 I97:L103 I91:L95 B89 B103 B109 B133 B124 B130 AD261:AD275 AU78 AR157:AT160 AU74:AU75 B71 B78 I73:L78 R76:R77 R73 AI76:AK77 AV73:AV78 AI73:AK73 AU63:AU65 AU67 R66 R70:R71 V261:AH262 C38:C39 B31 B49 R59 AI59:AI60 AU58 N261:T262 R196:R197 AI196:AK197 AH2 AU168 AR362:AR65572 Q158:Q160 Q255:R256 Q220:R221 AR105:AT109 AR91:AT95 Q107:R108 Q93:R94 Q101:R102 AR97:AT103 Q122:R123 AU49 Q87:Q89 AR73:AT78 Q58:Q61 Q174:R175 AS128:AT133 AU166 AA162:AA166 AU164 Q165 Q162:Q163 Q351:S65572 Q62:S62 Q97:S100 Q91:S92 Q105:S106 Q116:S117 Q95:S95 Q103:S103 Q109:S109 Q124:S124 Q222:S222 Q257:S257 Q157:S157 Q168:S168 R58:S58 R60:S61 R67:S67 R63:S65 R74:S75 R78:S78 R89:S89 R198:S198 R160:S160 AU150 AT347 AS146:AU147 AR325:AV343 AU133:AV133 AU97:AV100 AU91:AV92 AU105:AV106 AU116:AV117 AU95:AV95 AU103:AV103 AU109:AV109 AU124:AV124 AU222:AV222 AU257:AV257 AU157:AV157 AV196:AV197 AI70:AK71 AV174:AV175 AV58:AV59 AA58:AA59 AU60:AV62 AU51:AV51 AU31:AV31 AV107:AV108 AV93:AV94 AV101:AV102 AV114:AV115 AV122:AV123 AV220:AV221 AU198:AV198 AV255:AV256 AV158:AV159 AU160:AV160 R69:S69 AI68:AK68 R68 AU69 AT143:AT145 AV153:AV155 AR170:AV172 AR30:AT31 AI30 AI48 AV48:AV49 Q48:R48 AR48:AT49 Q143:Q147 Q151:R151 O45:AK47 C18:C21 AE73 AR143:AR149 H90:K90 R23:S23 AU23:AV23 AR23:AT25 B201 R229 R230:S230 AU230:AV230 AR58:AT63 AR64:AV64 AR55:AV57 AR209:AT222 I203:L222 AR203:AV208 AU209:AV219 AU84:AV86 AR84:AT89 AU111:AV113 Q111:S113 AR111:AT117 I111:L117 AU119:AV121 Q119:S121 AR119:AT124 I119:L124 Q126:Q132 AS126:AU126 AR126:AR133 I126:L133 AA126:AA130 AJ126:AK130 AV126:AV132 I200:L201 AV200 AR200:AT201 R200 R201:S201 AU201:AV201 AR229:AT230 Y40:AA44 I162:L168 AR162:AT168 Q167:R167 AV162:AV168 AR65:AT71 Q63:Q71 AV63:AV71 AR135:AV142 I55:L71 B230 B175 B155 B53 B192 R190:R191 R177:S179 R192:S192 AV190:AV191 AU177:AV179 AU192:AV192 R180 R189:S189 AV180 AR194:AV194 AU195:AV195 I194:L198 AR195:AT198 AU173:AV173 I170:L175 AR173:AT175 Q196:Q198 Q189:Q192 Q177:Q180 Q153:R155 Q49:S49 AR85:AV85 AR80:AV83 I80:L89 Q170:S173 Q203:S219 V33:AA37 R126:S126 Q164:S164 Q166:S166 R128:S128 Q133:S133 R146:S147 Q150:S150 V38:X44 B8 Q26:S29 Q23:R30 AA24:AA31 AR26:AV29 AV23:AV30 K10:K31 AR251:AT257 AU251:AV254 Q152:S152 AT147:AT149 W305:Z323 AV143:AV151 N247:N250 AR150:AT155 X151:Z155 AR177:AT192 AU181:AV189 Q181:S188 I177:L192 V290:V323 O247:O257 V150:Z151 V147:Y149 N263:N268 V263:V271 N224:N228 V209:Z222 AD228:AD230 N229:Q230 V55:W71 V194:W198 V135:Z148 AD135:AD155 N48:P49 AD91:AD95 N91:P95 AD194:AD198 N194:P198 AD55:AD71 N55:P71 AD203:AD222 N203:P222 AD73:AD78 N73:Q78 AD97:AD103 N97:P103 AD105:AD109 N105:P109 AD157:AD160 N157:P160 AD111:AD117 N111:P117 AD119:AD124 N119:P124 AD200:AD201 N200:Q201 AD170:AD175 N170:P175 AD162:AD168 N162:P168 AD126:AD133 N126:P133 O5:P5 AD177:AD192 N177:P192 W290:AH304 AV229 N251:P257 Q31:S31 AD80:AD89 N80:P89 N362:P65572 O224:O230 I232:L257 AR224:AV228 AR232:AV250 I224:L230 N135:P155 N235:O246 AD235:AD257 AI62:AI66 AG263:AH273 AE321:AH323 AQ285:AU285 AA181:AH189 AB33:AH35 X80:AH82 AB41:AD43 AA60:AH65 V83:AH84 Q135:S142 V266:AF268 X269:AF271 W263:AF265 AB23:AE30 AA180:AE180 AA190:AE191 AA66:AE66 AA167:AE167 AA229:AE229 AA200:AE200 AA151:AE151 AA48:AE48 AB319:AD323 AA44:AE44 AA272:AF273 AA68:AE68 AA143:AE145 AA158:AE159 AA255:AE256 AA220:AE221 AA122:AE123 AA114:AE115 AA101:AE102 AA93:AE94 AA107:AE108 AA174:AE175 AA196:AE197 AA148:AE149 AA73:AD75 AA131:AE132 AB59:AE59 AA70:AE71 AA76:AE77 AB129:AE130 AB127:AE127 AA87:AE88 AB162:AE163 AB165:AE165 AB318:AF318 AB31:AI31 AA177:AK179 AA201:AI201 AB126:AI126 AA230:AI230 AA23:AI23 AA69:AK69 AA150:AI150 AA67:AK67 AA49:AI49 AA160:AI160 AA157:AI157 AA133:AK133 AA146:AI147 AB58:AI58 AA78:AK78 AB128:AI128 AA89:AK89 AB164:AI164 AB166:AI166 AA168:AI168 AE74:AK75 AL10:AL14 Q80:S86 P263:S268 T23:Z31 N232:T234 AA305:AH317 P224:T228 AE235:AK250 AF26:AK29 AA170:AK173 AA97:AK100 AA91:AK92 AA105:AK106 AA116:AK117 AA95:AK95 AA109:AK109 AA124:AK124 AA222:AK222 AA257:AK257 AA103:AK103 AA111:AK113 AA119:AK121 AA135:AK142 X85:AK85 AA209:AK219 AA251:AK254 V203:AK208 AA86:AK86 AI80:AK84 AI180:AK191 AI167:AK167 AI229:AK229 AI200:AK200 AK201 AK152 AJ58:AK66 AK230 AI23:AK27 AJ48:AK49 AJ30:AK31 AI153:AK155 AI151:AK151 AK143:AK150 AI174:AK175 AI122:AK123 AI114:AK115 AI101:AK102 AI93:AK94 AI107:AK108 AI220:AK221 AI255:AK256 AI158:AK159 AK160 AK157 AK168 AA192:AL192 AA198:AL198 U164:U170 T162:T168 V162:Z168 U159:U162 T157:T160 V157:Z160 U206:U225 T203:T222 V203:W222 U106:U110 T105:T109 V105:Z109 U92:U96 T91:T95 V91:Z95 U98:U104 T97:T103 V97:Z103 U112:U118 T111:T117 V111:Z117 U120:U125 T119:T124 V119:Z124 T58:T63 V58:Z63 U172:U177 T170:T175 V170:Z175 T150:T155 V150:W155 Q64:T64 V64:AI64 U203:U204 T200:T201 V200:Z201 T177:T192 V177:Z192 V80:W89 U330:U345 N325:T343 V325:AK343 Q194:T195 V194:AK195 Q55:T57 V55:AK57 T251:T257 V251:Z257 T229:T230 V229:Z230 U56:U72 T65:T71 V65:Z71 U197:U201 T196:T198 V196:Z198 V86:Z89 U81:U90 T80:T89 U74:U79 T73:T78 V73:Z78 T48:T49 V48:Z49 AB152:AB155 P235:T250 V232:AK234 N226:T226 V224:AK228 T142:T148 U136:U149 T135:T138 U127:U134 T126:T133 V126:Z133 U151:U157 U179:U195 U227:U234 V153:AA155 AC153:AE155 AA152:AA154 AC152:AI154 AB36:AD39 AE36:AH44 B7:C7 AQ284:AV284 Q5:AI14 V16:AK22 Q16:T22 U16:W31 L5:L31 AD16:AD30 N6:P14 Z347 V51:AK51 T52:T53 U52:U54 V52:AE53 N51:T51 AD51:AD53 AV52:AV53 AR51:AT53 AI52:AK53 N52:R53 I51:L53 N276:T323 U264:U328 AD287:AD323 V276:AH289 V348:Z65572 Y38:AD40 U349:U65574 V347:W65572 AB347:AK65572 N347:P349 O347:O65572 AU347:AV65572 R347:S350 Q348:Q350 AS348:AT65572 AR347:AR349 AA347:AA349 I347:L65572 N11:AK15 AR5:AV22 C6:C16 V235:AC250 AD48:AD49 U48:U50 AI33:AK44 AD33:AD44 I33:L49 AR33:AV47 B261:B269 N16:P31 T263:T275 N281:AH285 N266:S275 AA274:AH275 V272:Z275 V269:W275 B272:B292 O33:U44 N33:N47 I135:L155 X347:Y348 AJ5:AJ11 AK5:AK14 Q251:S254 I5:J31 K5:K8 T348:T65572 I261:L323 AI261:AK323 O261:O275 U236:U261 AR261:AV323" xr:uid="{2A20F5AD-E2E1-451B-9A3E-99BAD2007E43}"/>
  </dataValidations>
  <printOptions horizontalCentered="1"/>
  <pageMargins left="0" right="0" top="0.11811023622047245" bottom="0.27559055118110237" header="0.15748031496062992" footer="0"/>
  <pageSetup paperSize="9" scale="53" orientation="landscape" copies="4" r:id="rId1"/>
  <headerFooter>
    <oddHeader xml:space="preserve">&amp;L&amp;16
</oddHeader>
    <oddFooter>&amp;L&amp;K00+000&amp;D  &amp;T&amp;R&amp;10&amp;P / &amp;N ページ</oddFooter>
  </headerFooter>
  <rowBreaks count="9" manualBreakCount="9">
    <brk id="50" max="16383" man="1"/>
    <brk id="90" max="16383" man="1"/>
    <brk id="110" max="37" man="1"/>
    <brk id="134" max="37" man="1"/>
    <brk id="169" max="16383" man="1"/>
    <brk id="199" max="37" man="1"/>
    <brk id="223" max="37" man="1"/>
    <brk id="260" max="37" man="1"/>
    <brk id="324" max="16383" man="1"/>
  </rowBreaks>
  <colBreaks count="1" manualBreakCount="1">
    <brk id="38" max="348"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利用許可申請書</vt:lpstr>
      <vt:lpstr>2021登録チーム</vt:lpstr>
      <vt:lpstr>2021事業№</vt:lpstr>
      <vt:lpstr>'2021事業№'!Criteria</vt:lpstr>
      <vt:lpstr>'2021事業№'!Print_Area</vt:lpstr>
      <vt:lpstr>利用許可申請書!Print_Area</vt:lpstr>
      <vt:lpstr>'2021事業№'!Print_Titles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naoto azusawa</dc:creator>
  <cp:lastModifiedBy>koichi</cp:lastModifiedBy>
  <cp:lastPrinted>2021-04-07T08:01:27Z</cp:lastPrinted>
  <dcterms:created xsi:type="dcterms:W3CDTF">2006-04-05T07:03:38Z</dcterms:created>
  <dcterms:modified xsi:type="dcterms:W3CDTF">2021-04-09T03:09:50Z</dcterms:modified>
</cp:coreProperties>
</file>